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al1" sheetId="1" r:id="rId1"/>
    <sheet name="zal2" sheetId="2" r:id="rId2"/>
    <sheet name="zal3" sheetId="3" r:id="rId3"/>
    <sheet name="zal4" sheetId="4" r:id="rId4"/>
    <sheet name="zal5" sheetId="5" r:id="rId5"/>
    <sheet name="zal6" sheetId="6" r:id="rId6"/>
    <sheet name="zal7" sheetId="7" r:id="rId7"/>
    <sheet name="zal8" sheetId="8" r:id="rId8"/>
    <sheet name="zal9" sheetId="9" r:id="rId9"/>
    <sheet name="zal10" sheetId="10" r:id="rId10"/>
    <sheet name="zal11" sheetId="11" r:id="rId11"/>
    <sheet name="zal12" sheetId="12" r:id="rId12"/>
    <sheet name="zal13" sheetId="13" r:id="rId13"/>
    <sheet name="zal14" sheetId="14" r:id="rId14"/>
  </sheets>
  <definedNames>
    <definedName name="_xlnm.Print_Area" localSheetId="0">'zal1'!$A$1:$V$490</definedName>
    <definedName name="_xlnm.Print_Titles" localSheetId="0">'zal1'!$8:$8</definedName>
    <definedName name="_xlnm.Print_Titles" localSheetId="10">'zal11'!$9:$9</definedName>
    <definedName name="_xlnm.Print_Titles" localSheetId="11">'zal12'!$9:$9</definedName>
    <definedName name="_xlnm.Print_Titles" localSheetId="12">'zal13'!$9:$9</definedName>
    <definedName name="_xlnm.Print_Titles" localSheetId="13">'zal14'!$8:$8</definedName>
    <definedName name="_xlnm.Print_Titles" localSheetId="1">'zal2'!$10:$10</definedName>
    <definedName name="_xlnm.Print_Titles" localSheetId="2">'zal3'!$8:$8</definedName>
    <definedName name="_xlnm.Print_Titles" localSheetId="3">'zal4'!$7:$11</definedName>
    <definedName name="_xlnm.Print_Titles" localSheetId="4">'zal5'!$7:$7</definedName>
    <definedName name="_xlnm.Print_Titles" localSheetId="5">'zal6'!$10:$10</definedName>
    <definedName name="_xlnm.Print_Titles" localSheetId="7">'zal8'!$8:$8</definedName>
    <definedName name="_xlnm.Print_Titles" localSheetId="8">'zal9'!$7:$7</definedName>
  </definedNames>
  <calcPr fullCalcOnLoad="1"/>
</workbook>
</file>

<file path=xl/sharedStrings.xml><?xml version="1.0" encoding="utf-8"?>
<sst xmlns="http://schemas.openxmlformats.org/spreadsheetml/2006/main" count="2184" uniqueCount="1075">
  <si>
    <t xml:space="preserve">finansów publicznych i niedziałające w celu osiągnięcia zysku </t>
  </si>
  <si>
    <t>Nazwa działu, rozdziału, zadania</t>
  </si>
  <si>
    <t>Dotacja 
z budżetu 
na 2003 rok 
wg uchwały budżetowej</t>
  </si>
  <si>
    <t xml:space="preserve">Dotacja 
z budżetu 
na 2003 rok 
po zmianach </t>
  </si>
  <si>
    <t>Wykonanie 
na 31 grudnia  
2003 roku</t>
  </si>
  <si>
    <t xml:space="preserve">%
 6:5 </t>
  </si>
  <si>
    <t>Przeznaczenie dotacji (cel publiczny)</t>
  </si>
  <si>
    <t>upowszechnianie turystyki wśród dzieci i młodzieży</t>
  </si>
  <si>
    <t>zadania realizowane w ramach Gminnego Programu Przeciwdziałania Narkomanii, z tego:</t>
  </si>
  <si>
    <t>koordynacja działań w zakresie zapobiegania narkomanii</t>
  </si>
  <si>
    <t>profilaktyka uzależnień od środków odurzających</t>
  </si>
  <si>
    <t xml:space="preserve">działania w zakresie profilaktyki </t>
  </si>
  <si>
    <t>edukacja w zakresie zagrożeń wynikających 
z uzależnień od narkotyków</t>
  </si>
  <si>
    <t xml:space="preserve">działania z zakresu leczenia i rehabilitacji osób uzależnionych od narkotyków </t>
  </si>
  <si>
    <t>pomoc osobom uzależnionym od narkotyków</t>
  </si>
  <si>
    <t>zadania realizowane w ramach Gminnego Programu Profilaktyki i Rozwiązywania Problemów Alkoholowych, 
z tego:</t>
  </si>
  <si>
    <t>zwiększenie dostępności pomocy terapeutycznej
i rehabilitacyjnej dla osób uzależnionych od alkoholu</t>
  </si>
  <si>
    <t>prowadzenie zajęć, programów oraz obozów 
terapeutycznych i rehabilitacyjnych dla osób
uzależnionych od alkoholu</t>
  </si>
  <si>
    <t>udzielanie rodzinom, w których występują problemy
alkoholowe pomocy psychospołecznej i prawnej,
a w szczególności ochrony przed przemocą w rodzinie</t>
  </si>
  <si>
    <t>pomoc dla członków rodzin z problemem
alkoholowym oraz problemem przemocy domowej</t>
  </si>
  <si>
    <t>prowadzenie profilaktycznej działalności informacyjnej
i edukacyjnej, w szczególności dla dzieci i młodzieży</t>
  </si>
  <si>
    <t>realizacja działań o charakterze edukacyinym 
i informacyjnym, w szczególności dla dzieci 
i młodzieży</t>
  </si>
  <si>
    <t>wspomaganie działalności instytucji, stowarzyszeń 
i osób fizycznych, służącej rozwiązywaniu problemów
alkoholowych</t>
  </si>
  <si>
    <t>dofinansowanie bieżącej działalności placówek
realizujących zadania Programu</t>
  </si>
  <si>
    <t>realizacja strategii na rzecz osób niepełnosprawnych, z tego:</t>
  </si>
  <si>
    <t>realizacja programów zwiększających świadomość
mieszkańców Lublina o przyczynach i skutkach powstawania 
niepełnosprawności oraz sposobów jej zapobiegania, 
w szczególności edukacja dzieci i młodzieży w tym zakresie</t>
  </si>
  <si>
    <t>zapobieganie i łagodzenie skutków powodujących niepełnosprawność</t>
  </si>
  <si>
    <t>rehabilitacja osób niepełnosprawnych zwiększająca 
ich samodzielność fizyczną i psychiczną</t>
  </si>
  <si>
    <t>prowadzenie innowacyjnych zajęć edukacyjnych dla dzieci 
i młodzieży niepełnosprawnej</t>
  </si>
  <si>
    <t>edukacja dzieci i młodzieży niepełnosprawnej</t>
  </si>
  <si>
    <t>świadczenie kompleksowego poradnictwa dla osób 
niepełnosprawnych i ich rodzin, w tym specjalistycznego
poradnictwa z zakresu likwidacji barier architektonicznych,
transportowych oraz w komunikowaniu się</t>
  </si>
  <si>
    <t xml:space="preserve">wyrównywanie szans osób niepełnosprawnych 
w życiu społecznym, pracy zawodowej, kulturze 
i rekreacji poprzez tworzenie warunków do rozwoju
rehabilitacji fizycznej, psychicznej, zawodowej 
i społecznej </t>
  </si>
  <si>
    <t>wspieranie aktywności społeczno - zawodowej osób niepełnosprawnych, w szczególności: prowadzenie specjalistycznych kursów i szkoleń przygotowujących osoby niepełnosprawne do podjęcia pracy, prowadzenie kawiarenki internetowej dla osób niepełnosprawnych</t>
  </si>
  <si>
    <t>aktywizacja społeczno - zawodowa osób niepełnosprawnych</t>
  </si>
  <si>
    <t xml:space="preserve">organizacja szkoleń i kursów przygotowujących do profesjonalnej pracy z osobami niepełnosprawnymi </t>
  </si>
  <si>
    <t>wspieranie aktywności osób niepełnosprawnych 
i działań samopomocowych w celu pełnej integracji 
osób niepełnosprawnych w społeczności lokalnej</t>
  </si>
  <si>
    <t>integracja osób niepełnosprawnych ze społecznością Lublina</t>
  </si>
  <si>
    <t>promocja osiągnięć osób niepełnosprawnych</t>
  </si>
  <si>
    <t>realizacja programów promujących osiągnięcia osób niepełnosprawnych w różnych sferach życia społecznego</t>
  </si>
  <si>
    <t>wspieranie przedsiębiorczości i tworzenie nowych 
miejsc pracy, z uwzględnieniem osób bezrobotnych
poprzez udzielanie pomocy finansowej osobom 
prowadzącym oraz rozpoczynającym działalność
gospodarczą</t>
  </si>
  <si>
    <t>pozyskiwanie, przechowywanie i przekazywanie
żywności potrzebującym mieszkańcom miasta</t>
  </si>
  <si>
    <t>Kolonie i obozy oraz inne formy wypoczynku dzieci
i młodzieży szkolnej, a także szkolenia młodzieży</t>
  </si>
  <si>
    <t>organizacja obozów szkoleniowych dla dzieci i młodzieży 
w okresie ferii zimowych i wakacji letnich</t>
  </si>
  <si>
    <t>organizacja czasu wolnego dla dzieci i młodzieży
w okresie ferii zimowych i wakacji letnich</t>
  </si>
  <si>
    <t>organizacja imprez sportowo-rekreacyjnych dla dzieci
i młodzieży w okresie ferii zimowych i wakacji letnich</t>
  </si>
  <si>
    <t>organizacja różnorodnych form upowszechniania kultury</t>
  </si>
  <si>
    <t>upowszechnianie kultury wśród mieszkańców miasta</t>
  </si>
  <si>
    <t>inicjatywy kulturalne domów i klubów kultury</t>
  </si>
  <si>
    <t>organizacja akcji "zima i lato w mieście"</t>
  </si>
  <si>
    <t>wydawnictwa kulturalne</t>
  </si>
  <si>
    <t>zapewnienie bazy sportowej dla mieszkańców miasta</t>
  </si>
  <si>
    <t>upowszechnianie kultury fizycznej</t>
  </si>
  <si>
    <t>propagowanie kultury fizycznej wśród młodzieży</t>
  </si>
  <si>
    <t xml:space="preserve">                                           Załącznik Nr 9</t>
  </si>
  <si>
    <t xml:space="preserve">Wykaz zadań miasta realizowanych przez podmioty niezaliczone </t>
  </si>
  <si>
    <t>do sektora finansów publicznych na podstawie odrębnych przepisów</t>
  </si>
  <si>
    <t xml:space="preserve">                                                                     w złotych</t>
  </si>
  <si>
    <t>Dotacja
 z budżetu 
na 2003 rok 
wg uchwały budżetowej</t>
  </si>
  <si>
    <t>Dotacja 
z budżetu 
na 2003 rok po zmianach</t>
  </si>
  <si>
    <t>Wykonanie
 na 
31 grudnia 2003 roku</t>
  </si>
  <si>
    <t>%                6:5</t>
  </si>
  <si>
    <t>utrzymanie uczniów w niepublicznych szkołach podstawowych prowadzonych przez osoby prawne i fizyczne</t>
  </si>
  <si>
    <t xml:space="preserve">dotacje dla gimnazjów publicznych i niepublicznych </t>
  </si>
  <si>
    <t>utrzymanie uczniów w publicznych i niepublicznych gimnazjach prowadzonych przez osoby prawne i fizyczne</t>
  </si>
  <si>
    <t>utrzymanie uczniów w publicznych i niepublicznych liceach prowadzonych przez osoby prawne i fizyczne</t>
  </si>
  <si>
    <t>utrzymanie uczniów w publicznych liceach profilowanych prowadzonych przez osoby prawne i fizyczne</t>
  </si>
  <si>
    <t xml:space="preserve">dotacje dla publicznych i niepublicznych szkół zawodowych </t>
  </si>
  <si>
    <t>utrzymanie uczniów w publicznych i niepublicznych szkołach zawodowych prowadzonych przez osoby prawne i fizyczne</t>
  </si>
  <si>
    <t>dotacja na sfinansowanie zakładowego funduszu 
świadczeń socjalnych dla nauczycieli emerytów 
i rencistów</t>
  </si>
  <si>
    <t>świadczenia socjalne dla nauczycieli emerytów i rencistów</t>
  </si>
  <si>
    <t>zadania z zakresu ochrony zdrowia realizowane
przez Zespół Opieki Zdrowotnej w Lublinie 
Samodzielny Publiczny Zakład Opieki Zdrowotnej  
ul. Hipoteczna 4, 20-027 Lublin</t>
  </si>
  <si>
    <t>realizacja programów zdrowotnych</t>
  </si>
  <si>
    <t>modernizacje przychodni</t>
  </si>
  <si>
    <t>Ośrodek Leczenia Uzależnień
al.Tysiąclecia 5; 20-121 Lublin</t>
  </si>
  <si>
    <t>realizacja programów socjoterapeutycznych oraz pokrycie kosztów kształcenia i podnoszenia kwalifikacji osób wykonujących zawody medyczne</t>
  </si>
  <si>
    <t>Placówki opiekuńczo - wychowawcze</t>
  </si>
  <si>
    <t>utrzymanie wychowanków w niepublicznych placówkach opiekuńczo-wychowawczych prowadzonych przez osoby prawne i fizyczne</t>
  </si>
  <si>
    <t>prowadzenie Domu Pomocy Społecznej
przy ul. Dolińskiego</t>
  </si>
  <si>
    <t>uruchomienie 22 nowych miejsc w Domu Pomocy Społecznej</t>
  </si>
  <si>
    <t>prowadzenie Ośrodka Wsparcia dla Rodzin 
z Dzieckiem Niepełnosprawnym</t>
  </si>
  <si>
    <t>pomoc rodzinom z dzieckiem niepełnosprawnym</t>
  </si>
  <si>
    <t>pomoc osobom bezdomnym, matkom samotnie wychowującym dzieci, kobietom zagrożonym przemocą domową</t>
  </si>
  <si>
    <t>pomoc dzieciom i osobom dorosłym niepełnosprawnym fizycznie, umysłowo, chorym psychicznie i z chorobą Alzheimera</t>
  </si>
  <si>
    <t>dotacje dla niepublicznych ośrodków 
szkolno - wychowawczych</t>
  </si>
  <si>
    <t>utrzymanie wychowanków w niepublicznych ośrodkach
szkolno - wychowawczych prowadzonych przez osoby prawne
i fizyczne</t>
  </si>
  <si>
    <t>dotacje dla przedszkoli publicznych i niepublicznych</t>
  </si>
  <si>
    <t>utrzymanie dzieci w publicznych i niepublicznych przedszkolach  prowadzonych przez osoby prawne i fizyczne</t>
  </si>
  <si>
    <t xml:space="preserve">utrzymanie uczniów w niepublicznych bursach
i internatach prowadzonych przez osoby prawne i fizyczne </t>
  </si>
  <si>
    <t>rewaloryzacja zabytków</t>
  </si>
  <si>
    <t>remont katedralnej cerkwi p.w. Przemienienia Pańskiego 
w Lublinie - dofinansowanie</t>
  </si>
  <si>
    <t>iluminacja obiektu zabytkowego</t>
  </si>
  <si>
    <t>prowadzenie Ośrodka Wsparcia przy ul. Bronowickiej</t>
  </si>
  <si>
    <t>pomoc osobom z zaburzeniami psychicznymi</t>
  </si>
  <si>
    <t>zakupy inwestycyjne dla Ośrodka Wsparcia 
przy ul. Bronowickiej</t>
  </si>
  <si>
    <t>zakup wyposażenia dla Ośrodka Wsparcia</t>
  </si>
  <si>
    <t>prowadzenie Środowiskowego Domu Samopomocy 
przy al. Spółdzielczości Pracy</t>
  </si>
  <si>
    <t>dofinansowanie utrzymania Środowiskowego Domu Samopomocy</t>
  </si>
  <si>
    <t>zakupy inwestycyjne dla Środowiskowego Domu Samopomocy przy al. Spółdzielczości Pracy</t>
  </si>
  <si>
    <t>zakup wyposażenia dla Środowiskowego Domu Samopomocy</t>
  </si>
  <si>
    <t>prowadzenie Środowiskowego Domu Samopomocy
przy ul. Abramowickiej "Misericordia"</t>
  </si>
  <si>
    <t>prowadzenie Środowiskowego Domu Samopomocy
"Roztocze" przy ul. Wallenroda</t>
  </si>
  <si>
    <t>Załącznik Nr 10</t>
  </si>
  <si>
    <t xml:space="preserve">Wydatki na utrzymanie Rad i Zarządów jednostek pomocniczych miasta </t>
  </si>
  <si>
    <t>Przewidywane wykonanie 1999 roku</t>
  </si>
  <si>
    <t xml:space="preserve"> %                                          5:4</t>
  </si>
  <si>
    <t>Plan na 2003 rok 
po zmianach</t>
  </si>
  <si>
    <t>Wykonanie na 
31 grudnia 2003 roku</t>
  </si>
  <si>
    <t>Abramowice</t>
  </si>
  <si>
    <t>Bronowice</t>
  </si>
  <si>
    <t>Czechów Południowy</t>
  </si>
  <si>
    <t>Czechów Północny</t>
  </si>
  <si>
    <t>Czuby Południe</t>
  </si>
  <si>
    <t>Czuby Północne</t>
  </si>
  <si>
    <t>Dziesiąta</t>
  </si>
  <si>
    <t>Felin</t>
  </si>
  <si>
    <t>Głusk</t>
  </si>
  <si>
    <t>Hajdów Zadębie</t>
  </si>
  <si>
    <t>Kalinowszczyzna</t>
  </si>
  <si>
    <t>Konstantynów</t>
  </si>
  <si>
    <t>Kośminek</t>
  </si>
  <si>
    <t>Ponikwoda</t>
  </si>
  <si>
    <t>Rury</t>
  </si>
  <si>
    <t>Sławin</t>
  </si>
  <si>
    <t>Sławinek</t>
  </si>
  <si>
    <t>Stare Miasto</t>
  </si>
  <si>
    <t>Szerokie</t>
  </si>
  <si>
    <t>Śródmieście</t>
  </si>
  <si>
    <t>Tatary</t>
  </si>
  <si>
    <t>Węglin Południe</t>
  </si>
  <si>
    <t>Węglin Północ</t>
  </si>
  <si>
    <t>Wieniawa</t>
  </si>
  <si>
    <t>Wrotków</t>
  </si>
  <si>
    <t>Za Cukrownią</t>
  </si>
  <si>
    <t>Zemborzyce</t>
  </si>
  <si>
    <t>Załącznik Nr 11</t>
  </si>
  <si>
    <t>Gminny Fundusz Ochrony Środowiska i Gospodarki Wodnej</t>
  </si>
  <si>
    <t xml:space="preserve">Rozdz.
§   </t>
  </si>
  <si>
    <t>Wyszczególnienie</t>
  </si>
  <si>
    <t>Wykonanie 
na 31 grudnia 
2003 roku</t>
  </si>
  <si>
    <t>Wydział Finansowy</t>
  </si>
  <si>
    <t>Stan środków obrotowych na początek roku</t>
  </si>
  <si>
    <t>w tym stan środków pieniężnych</t>
  </si>
  <si>
    <t xml:space="preserve"> I Przychody</t>
  </si>
  <si>
    <t>opłaty za usuwanie drzew lub krzewów</t>
  </si>
  <si>
    <t>069</t>
  </si>
  <si>
    <t>Wpływy z różnych opłat</t>
  </si>
  <si>
    <t>kary za usuwanie drzew lub krzewów</t>
  </si>
  <si>
    <t>097</t>
  </si>
  <si>
    <t>Wpływy z różnych dochodów</t>
  </si>
  <si>
    <t>środki przekazane przez Marszałka Województwa z tytułu opłat 
za gospodarcze korzystanie ze środowiska</t>
  </si>
  <si>
    <t>Przelewy redystrybucyjne</t>
  </si>
  <si>
    <t>dotacje z Wojewódzkiego Funduszu Ochrony Środowiska i Gospodarki Wodnej na realizację zadań z zakresu ochrony środowiska</t>
  </si>
  <si>
    <t>odsetki</t>
  </si>
  <si>
    <t>092</t>
  </si>
  <si>
    <t>Pozostałe odsetki</t>
  </si>
  <si>
    <t>Suma bilansowa</t>
  </si>
  <si>
    <t>II    Wydatki ogółem</t>
  </si>
  <si>
    <t>edukacja ekologiczna</t>
  </si>
  <si>
    <t>Zakup materiałów i wyposażenia</t>
  </si>
  <si>
    <t>Zakup usług pozostałych</t>
  </si>
  <si>
    <t>Wydatki  na zakupy inwestycyjne funduszy celowych</t>
  </si>
  <si>
    <t>odprowadzenie wód deszczowych z os. Rudnik i Bursaki</t>
  </si>
  <si>
    <t>Wydatki inwestycyjne funduszy celowych</t>
  </si>
  <si>
    <t>leczenie i konserwacja starodrzewu</t>
  </si>
  <si>
    <t>nasadzenia zieleni wysokiej oraz krzewów na terenie miasta Lublina</t>
  </si>
  <si>
    <t>termomodernizacja budynków szkolnych, wymiana stolarki okiennej</t>
  </si>
  <si>
    <t>zabezpieczenie przeciwpowodziowe w cofce Zbiornika Zemborzyckiego 
i zabezpieczenie zapory czołowej</t>
  </si>
  <si>
    <t>pomoc placówkom użyteczności publicznej w zakładaniu terenów zieleni 
(w konsultacji z jednostkami pomocniczymi miasta)</t>
  </si>
  <si>
    <t>zakup sorbentów dla wyposażenia Jednostki Ratowniczo-Gaśniczej Państwowej Straży Pożarnej</t>
  </si>
  <si>
    <t>monitoring środowiska w mieście</t>
  </si>
  <si>
    <t>tworzenie baz danych w Miejskim Banku Zanieczyszczeń Środowiska</t>
  </si>
  <si>
    <t>likwidacja niskiej emisji</t>
  </si>
  <si>
    <t>prace interwencyjne</t>
  </si>
  <si>
    <t>udział w kursach i szkoleniach naukowo - technicznych</t>
  </si>
  <si>
    <t>rekultywacja terenów zdegradowanych Lublina</t>
  </si>
  <si>
    <t>rewaloryzacja Ogrodu Saskiego</t>
  </si>
  <si>
    <t>ratowanie lubelskich kasztanowców przed inwazją szrotówka kasztanowcowiaczka</t>
  </si>
  <si>
    <t>dofinansowanie utylizacji odpadów zielonych (biomasy) i gruzu budowlanego</t>
  </si>
  <si>
    <t>oczyszczenie stawów doczyszczających w oczyszczalni w Rokitnie</t>
  </si>
  <si>
    <t>przebudowa Parku Ludowego</t>
  </si>
  <si>
    <t>sieć kanalizacji sanitarnej i deszczowej od ul. Dominikańskiej do ul. Podwale</t>
  </si>
  <si>
    <t>kolektor sanitarny N-II</t>
  </si>
  <si>
    <t>zakup pojemników do selektywnej zbiórki odpadów</t>
  </si>
  <si>
    <t>projekt remontu wylotu kolektora burzowego w ciągu ul. Muzycznej</t>
  </si>
  <si>
    <t>projekt rekultywacji terenu miejskiego przy ul. Janowskiej 76</t>
  </si>
  <si>
    <t>likwidacja zagrożeń powierzchni ziemi substancjami chemicznymi</t>
  </si>
  <si>
    <t>opracowanie koncepcji oczyszczania ścieków deszczowych</t>
  </si>
  <si>
    <t xml:space="preserve">monitoring wielkości spływów deszczowych z wytypowanych kolektorów </t>
  </si>
  <si>
    <t>aktualizacja projektu stref ochronnych ujęć miasta Lublina</t>
  </si>
  <si>
    <t>opracowanie projektów nowych terenów zielonych: Park Zawilcowa, 
Park Czuby</t>
  </si>
  <si>
    <t>inne zmniejszenia</t>
  </si>
  <si>
    <t>Stan środków obrotowych na koniec roku</t>
  </si>
  <si>
    <t>Załącznik Nr 12</t>
  </si>
  <si>
    <t xml:space="preserve">    Powiatowy Fundusz Ochrony Środowiska i Gospodarki Wodnej </t>
  </si>
  <si>
    <t>Rozdz.
§</t>
  </si>
  <si>
    <t>Plan na 2003 rok
 po zmianach</t>
  </si>
  <si>
    <t>Wykonanie
na 31 grudnia 
 2003 roku</t>
  </si>
  <si>
    <t xml:space="preserve"> I   Przychody</t>
  </si>
  <si>
    <t xml:space="preserve">wpływy z tytułu nałożonych kar przekazywane przez Państwową Inspekcję Ochrony Środowiska </t>
  </si>
  <si>
    <t xml:space="preserve">II    Wydatki </t>
  </si>
  <si>
    <t>gospodarka surowcami organicznymi</t>
  </si>
  <si>
    <t>likwidacja zagrożeń sanitarno-epidemicznych powierzchni ziemi 
i ekologiczne zagospodarowanie terenu</t>
  </si>
  <si>
    <t>wprowadzenie programu selektywnej zbiórki odpadów</t>
  </si>
  <si>
    <t>Zakup materiałów i wysposażenia</t>
  </si>
  <si>
    <t>budowa odcinka kanalizacji sanitarnej w ul. Pancerniaków</t>
  </si>
  <si>
    <t>składowisko odpadów w Rokitnie</t>
  </si>
  <si>
    <t>Załącznik Nr 13</t>
  </si>
  <si>
    <t xml:space="preserve">                           </t>
  </si>
  <si>
    <t xml:space="preserve"> Fundusz Gospodarki Zasobem Geodezyjnym i Kartograficznym</t>
  </si>
  <si>
    <t xml:space="preserve">                            </t>
  </si>
  <si>
    <t>Plan 
na 2003 rok 
wg uchwały budżetowej</t>
  </si>
  <si>
    <t>Plan 
na 2003 rok 
po zmianach</t>
  </si>
  <si>
    <t>Wykonanie 
na 31 grudnia 2003 roku</t>
  </si>
  <si>
    <t>Fundusz Gospodarki Zasobem Geodezyjnym i Kartograficznym</t>
  </si>
  <si>
    <t>sprzedaż map i wyrysów</t>
  </si>
  <si>
    <t>083</t>
  </si>
  <si>
    <t>Wpływy z usług</t>
  </si>
  <si>
    <t xml:space="preserve">odsetki </t>
  </si>
  <si>
    <t>dofinansowanie z Centralnego Funduszu Gospodarki Zasobem Geodezyjnym i Kartograficznym na zakupy inwestycyjne</t>
  </si>
  <si>
    <t>zakup materiałów i usług</t>
  </si>
  <si>
    <t>Zakup usług remontowych</t>
  </si>
  <si>
    <t xml:space="preserve">wpłaty na rzecz Centralnego Funduszu Gospodarki Zasobem
Geodezyjnym i Kartograficznym </t>
  </si>
  <si>
    <t xml:space="preserve">wpłaty na rzecz Wojewódzkiego Funduszu Gospodarki Zasobem Geodezyjnym i Kartograficznym </t>
  </si>
  <si>
    <t>specjalistyczne szkolenie pracowników</t>
  </si>
  <si>
    <t>zakup sprzętu specjalistycznego</t>
  </si>
  <si>
    <t>Wydatki na zakupy inwestycyjne funduszy celowych</t>
  </si>
  <si>
    <t>Zadania z zakresu administracji rządowej i inne zadania zlecone ustawami</t>
  </si>
  <si>
    <t>oraz dochody, które podlegają przekazaniu do budżetu państwa</t>
  </si>
  <si>
    <t>związane z realizacją powyższych zadań</t>
  </si>
  <si>
    <t>Plan dochodów 
na 2003 rok 
wg uchwały budżetowej</t>
  </si>
  <si>
    <t>Plan dochodów 
na 2003 rok
po zmianach</t>
  </si>
  <si>
    <t>%                      6:5</t>
  </si>
  <si>
    <t>Plan wydatków 
na 2003 rok 
wg uchwały budżetowej</t>
  </si>
  <si>
    <t xml:space="preserve">Plan wydatków 
na 2003 rok
po zmianach </t>
  </si>
  <si>
    <t>%                      10:9</t>
  </si>
  <si>
    <t>(nazwa działu, rozdziału, zadania, paragrafu)</t>
  </si>
  <si>
    <t>gmina</t>
  </si>
  <si>
    <t>Zadania zlecone ogółem</t>
  </si>
  <si>
    <t xml:space="preserve">Dotacje celowe otrzymane z budżetu państwa na realizację zadań bieżących z zakresu administracji rządowej oraz innych zadań zleconych gminie ustawami </t>
  </si>
  <si>
    <t xml:space="preserve">dotacja celowa z budżetu państwa na realizację bieżących zadań zleconych z ustawy "kompetencyjnej" </t>
  </si>
  <si>
    <t>opłaty za nowe dowody osobiste</t>
  </si>
  <si>
    <t>Dochody budżetu państwa związane z realizacją zadań zlecanych jednostkom samorządu terytorialnego</t>
  </si>
  <si>
    <t xml:space="preserve">Urzędy naczelnych organów władzy państwowej, kontroli 
i ochrony prawa </t>
  </si>
  <si>
    <t>dotacja celowa z budżetu państwa na sfinansowanie kosztów prowadzenia i aktualizowania rejestru wyborców</t>
  </si>
  <si>
    <t>dotacja celowa z budżetu państwa na sfinansowanie przygotowania            i przeprowadzenia referendum akcesyjnego</t>
  </si>
  <si>
    <t>koszty przygotowania i przeprowadzania referendum akcesyjnego</t>
  </si>
  <si>
    <t>dotacja celowa z budżetu państwa na utrzymanie Środowiskowego Domu Samopomocy przy ul. Gospodarczej</t>
  </si>
  <si>
    <t>dotacja celowa z budżetu państwa na prowadzenie Ośrodka Wsparcia przy ul. Bronowickiej</t>
  </si>
  <si>
    <t>Dotacje celowe otrzymane z budżetu państwa na realizację zadań bieżących z zakresu administracji rządowej oraz innych zadań zleconych gminie ustawami</t>
  </si>
  <si>
    <t>dotacja celowa z budżetu państwa na zakupy inwestycyjne dla Ośrodka Wsparcia przy ul. Bronowickiej</t>
  </si>
  <si>
    <t>Dotacje celowe otrzymane z budżetu państwa na inwestycje i zakupy inwestycyjne z zakresu administracji rządowej oraz innych zadań zleconych gminom ustawami</t>
  </si>
  <si>
    <t>dotacja celowa z budżetu państwa na zakupy inwestycyjne dla Środowiskowego Domu Samopomocy przy al. Spółdzielczości Pracy</t>
  </si>
  <si>
    <t xml:space="preserve">utrzymanie Środowiskowego Domu Samopomocy                                                           przy ul. Gospodarczej, w tym: </t>
  </si>
  <si>
    <t>dotacja na prowadzenie Środowiskowego Domu Samopomocy                                                         przy al. Spółdzielczości Pracy</t>
  </si>
  <si>
    <t>dotacja na zakupy inwestycyjne dla Ośrodka Wsparcia                                                                  przy ul. Bronowickiej</t>
  </si>
  <si>
    <t xml:space="preserve">dotacja celowa z budżetu państwa na składki na ubezpieczenie zdrowotne opłacane za osoby pobierające świadczenia z pomocy społecznej </t>
  </si>
  <si>
    <t>składki na ubezpieczenie zdrowotne osób korzystających ze świadczeń pomocy społecznej</t>
  </si>
  <si>
    <t xml:space="preserve">dotacja celowa z budżetu państwa na zasiłki i pomoc w naturze oraz na składki na ubezpieczenia społeczne </t>
  </si>
  <si>
    <t>zwrot nienależnie pobranych zasiłków w latach ubiegłych</t>
  </si>
  <si>
    <t>dotacja celowa z budżetu państwa na zasiłki rodzinne, pielęgnacyjne            i wychowawcze</t>
  </si>
  <si>
    <t>dotacja celowa z budżetu państwa na usługi opiekuńcze                                                                       i specjalistyczne</t>
  </si>
  <si>
    <t>wydatki związane z pomocą udzielaną rapatriantom</t>
  </si>
  <si>
    <t xml:space="preserve">wydatki związane z finansowaniem części wyprawki szkolnej </t>
  </si>
  <si>
    <t xml:space="preserve">Dotacje celowe otrzymane z budżetu państwa na inwestycje i zakupy inwestycyjne z zakresu administracji rządowej oraz innych zadań zleconych gminom ustawami </t>
  </si>
  <si>
    <t>wydatki związane z oświetleniem dróg krajowych, wojewódzkich                   i powiatowych</t>
  </si>
  <si>
    <t>Dotacje celowe z budżetu państwa na finansowanie zadań                                                                      z zakresu administracji rządowej wykonywanych przez powiat</t>
  </si>
  <si>
    <t>dotacja celowa na utrzymanie Miejskiego Inspektoratu Weterynarii</t>
  </si>
  <si>
    <t>Dotacje celowe otrzymane z budżetu państwa na zadania bieżące              z zakresu administracji rządowej oraz inne zadania zlecone ustawami realizowane przez powiat</t>
  </si>
  <si>
    <t>opłaty za badania</t>
  </si>
  <si>
    <t>dotacja celowa z budżetu państwa na finansowanie zadań bieżących                 z zakresu gospodarki nieruchomościami</t>
  </si>
  <si>
    <t>Dotacje celowe otrzymane z budżetu państwa na zadania bieżące               z zakresu administracji rządowej oraz inne zadania zlecone ustawami realizowane przez powiat</t>
  </si>
  <si>
    <t>opłaty za zarząd i wieczyste użytkowanie nieruchomości Skarbu Państwa</t>
  </si>
  <si>
    <t>Dotacje celowe otrzymane z budżetu państwa na zadania bieżące             z zakresu administracji rządowej oraz inne zadania zlecone ustawami realizowane przez powiat</t>
  </si>
  <si>
    <t>modernizacja ewidencji gruntów w obrębach przyłączonych do miasta Lublina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</si>
  <si>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</si>
  <si>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           z zakresu administracji rządowej oraz inne zadania zlecone ustawami realizowane przez powiat</t>
  </si>
  <si>
    <t>sfinansowanie wydatków związanych z przygotowaniem                                                                             i przeprowadzeniem poboru do wojska</t>
  </si>
  <si>
    <t>dotacja celowa z budżetu państwa na utrzymanie Komendy Miejskiej Państwowej Straży Pożarnej</t>
  </si>
  <si>
    <t>wpływy z czynności kontrolno-rozpoznawczych</t>
  </si>
  <si>
    <t xml:space="preserve">dotacja celowa z budżetu państwa na składki na ubezpieczenie zdrowotne za dzieci i uczniów niepozostających na utrzymaniu osoby ubezpieczonej </t>
  </si>
  <si>
    <t>dotacja celowa z budżetu państwa na składki na ubezpieczenie zdrowotne za bezrobotnych bez prawa do zasiłku</t>
  </si>
  <si>
    <t>wydatki związane z opłacaniem składek na ubezpieczenie zdrowotne uczniów oraz wychowanków placówek opiekuńczo - wychowawczych</t>
  </si>
  <si>
    <t>dotacja celowa z budżetu państwa na prowadzenie środowiskowych domów samopomocy</t>
  </si>
  <si>
    <t>dotacja na prowadzenie Środowiskowego Domu Samopomocy                 przy ul. Abramowickiej "Misericordia"</t>
  </si>
  <si>
    <t>dotacja celowa z budżetu państwa na utrzymanie zespołu do spraw orzekania o niepełnosprawności</t>
  </si>
  <si>
    <t>dotacja celowa z budżetu państwa na zakupy inwestycyjne dla zespołu 
do spraw orzekania o niepełnosprawności</t>
  </si>
  <si>
    <t xml:space="preserve">wydatki na zakupy inwestycyjne dla zespołu do spraw orzekania 
o niepełnosprawności  </t>
  </si>
  <si>
    <t>Dotacje celowe otrzymane z budżetu państwa na zadania bieżące 
z zakresu administracji rządowej oraz inne zadania zlecone ustawami realizowane przez powiat</t>
  </si>
  <si>
    <t>Wydatki, które nie wygasają z upływem roku budżetowego</t>
  </si>
  <si>
    <t>Dotacje celowe z budżetu państwa na finansowanie zadań                                                       z zakresu administracji rządowej wykonywanych przez powiat</t>
  </si>
  <si>
    <t>211</t>
  </si>
  <si>
    <t>zal8</t>
  </si>
  <si>
    <t>Prezydenta Miasta Lublin</t>
  </si>
  <si>
    <t xml:space="preserve"> </t>
  </si>
  <si>
    <t>Załącznik Nr 1</t>
  </si>
  <si>
    <t>do uchwały Nr</t>
  </si>
  <si>
    <t xml:space="preserve">Dochody </t>
  </si>
  <si>
    <t>w złotych</t>
  </si>
  <si>
    <t xml:space="preserve">Treść   </t>
  </si>
  <si>
    <t>Plan na 2003 rok wg uchwały budżetowej</t>
  </si>
  <si>
    <t xml:space="preserve">Plan na 2003 rok po zmianach </t>
  </si>
  <si>
    <t>Wykonanie na 
31 grudnia 
2003 roku</t>
  </si>
  <si>
    <t>%                            6:5</t>
  </si>
  <si>
    <t>Dział</t>
  </si>
  <si>
    <t xml:space="preserve">Rozdz.      </t>
  </si>
  <si>
    <t>(nazwa działu, rozdziału, źródła dochodów)</t>
  </si>
  <si>
    <t>%                        12:9</t>
  </si>
  <si>
    <t>Dochody budżetu miasta ogółem</t>
  </si>
  <si>
    <t>z tego:</t>
  </si>
  <si>
    <t>I Dochody gminy ogółem, z tego:</t>
  </si>
  <si>
    <t xml:space="preserve">Dochody własne </t>
  </si>
  <si>
    <t>010</t>
  </si>
  <si>
    <t>Rolnictwo i łowiectwo</t>
  </si>
  <si>
    <t>01095</t>
  </si>
  <si>
    <t>Pozostała działalność</t>
  </si>
  <si>
    <t>czynsz dzierżawny za obwody łowieckie</t>
  </si>
  <si>
    <t>Gospodarka mieszkaniowa</t>
  </si>
  <si>
    <t>Zakłady gospodarki mieszkaniowej</t>
  </si>
  <si>
    <t xml:space="preserve">odsetki bankowe od środków dotacji przekazanej z budżetu miasta </t>
  </si>
  <si>
    <t>Gospodarka gruntami i nieruchomościami</t>
  </si>
  <si>
    <t>opłaty za wieczyste użytkowanie</t>
  </si>
  <si>
    <t>opłaty adiacenckie</t>
  </si>
  <si>
    <t>wpływy z dzierżawy gruntów</t>
  </si>
  <si>
    <t>wpływy z tytułu odpłatnego korzystania z mienia (dzierżawa, najem)</t>
  </si>
  <si>
    <t>wpłaty z tytułu przekształcenia prawa użytkowania wieczystego w prawo własności</t>
  </si>
  <si>
    <t>sprzedaż działek</t>
  </si>
  <si>
    <t>wpłaty zwaloryzowanych odszkodowań przez byłych właścicieli w związku 
z przywróceniem własności</t>
  </si>
  <si>
    <t>sprzedaż mieszkań komunalnych</t>
  </si>
  <si>
    <t>dochody ze sprzedaży składników majątkowych</t>
  </si>
  <si>
    <t>odsetki za nieterminowe regulowanie należności</t>
  </si>
  <si>
    <t>zwrot środków przez spółdzielnie mieszkaniowe za skredytowane mieszkania</t>
  </si>
  <si>
    <t>pozostałe dochody</t>
  </si>
  <si>
    <t>Działalność usługowa</t>
  </si>
  <si>
    <t>Cmentarze</t>
  </si>
  <si>
    <t>opłata za korzystanie z cmentarzy komunalnych i urządzeń cmentarnych</t>
  </si>
  <si>
    <t>darowizna pieniężna na utrzymanie cmentarza przy ul. Walecznych</t>
  </si>
  <si>
    <t>Administracja publiczna</t>
  </si>
  <si>
    <t>Urzędy miast i miast na prawach powiatu</t>
  </si>
  <si>
    <t>kary i grzywny nakładane przez Urząd</t>
  </si>
  <si>
    <t>opłaty za używanie nazwy i herbu miasta Lublina</t>
  </si>
  <si>
    <t>opłaty za tablice informacyjno-reklamowe umieszczane w budynkach Urzędu Miasta</t>
  </si>
  <si>
    <t>opłaty pokrywające koszt specyfikacji przetargowej, dziennika budowy i inne</t>
  </si>
  <si>
    <t>wpłata nadwyżki środków środka specjalnego "Egzekucja administracyjna"</t>
  </si>
  <si>
    <t>wpływy z tytułu wynagrodzenia przysługującego płatnikowi za terminowe 
wpłacanie podatków pobranych na rzecz budżetu państwa i z tytułu wykonywania 
zadań z ubezpieczenia społecznego</t>
  </si>
  <si>
    <t>Bezpieczeństwo publiczne i ochrona przeciwpożarowa</t>
  </si>
  <si>
    <t>Straż Miejska</t>
  </si>
  <si>
    <t>wpływy z mandatów nakładanych przez Straż Miejską</t>
  </si>
  <si>
    <t>Dochody od osób prawnych, od osób fizycznych i od innych jednostek 
nieposiadających osobowości prawnej</t>
  </si>
  <si>
    <t>Wpływy z podatku dochodowego od osób fizycznych</t>
  </si>
  <si>
    <t>podatek od działalności gospodarczej osób fizycznych opłacany w formie karty podatkowej</t>
  </si>
  <si>
    <t xml:space="preserve">odsetki od nieterminowych wpłat </t>
  </si>
  <si>
    <t>Wpłaty z zysku przedsiębiorstw i jednoosobowych spółek</t>
  </si>
  <si>
    <t>wpłaty z zysku - Lubelskie Przedsiębiorstwo Energetyki Cieplnej Sp. z o.o.</t>
  </si>
  <si>
    <t>wpłaty z zysku - Miejskie Przedsiębiorstwo Wodociągów i Kanalizacji Sp. z o.o.</t>
  </si>
  <si>
    <t>Wpływy z podatku rolnego, podatku leśnego, podatku od czynności cywilnoprawnych oraz podatków i opłat lokalnych od osób prawnych i innych jednostek organizacyjnych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</si>
  <si>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</si>
  <si>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</si>
  <si>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</si>
  <si>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</si>
  <si>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</si>
  <si>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odsetki, opłaty za upomnienia, opłata prolongacyjna</t>
  </si>
  <si>
    <t>Wpływy z podatku rolnego, podatku leśnego, podatku od spadków i darowizn, 
podatku od czynności cywilnoprawnych oraz podatków i opłat lokalnych 
od osób fizycznych</t>
  </si>
  <si>
    <t>podatek od spadków i darowizn</t>
  </si>
  <si>
    <t>podatek od posiadania psów</t>
  </si>
  <si>
    <t>opłata targowa</t>
  </si>
  <si>
    <t>opłata administracyjna</t>
  </si>
  <si>
    <t>Wpływy z innych opłat stanowiących dochody jednostek samorządu 
terytorialnego na podstawie ustaw</t>
  </si>
  <si>
    <t>opłata skarbowa</t>
  </si>
  <si>
    <t>opłaty roczne za zezwolenia na sprzedaż napojów alkoholowych</t>
  </si>
  <si>
    <t>opłata za wydanie licencji na taksówkę</t>
  </si>
  <si>
    <t>opłata stała - wpis do ewidencji gospodarczej</t>
  </si>
  <si>
    <t>opłaty za zezwolenia na wykonywanie zarobkowego przewozu osób pojazdami</t>
  </si>
  <si>
    <t xml:space="preserve">opłata restrukturyzacyjna </t>
  </si>
  <si>
    <t>opłata koncesyjna za wydobywanie kopalin ze złóż</t>
  </si>
  <si>
    <t xml:space="preserve">odsetki od nieterminowych wpłat  </t>
  </si>
  <si>
    <t>Wpływy z różnych rozliczeń</t>
  </si>
  <si>
    <t>opłata eksploatacyjna za wydobywanie kopalin ze złóż</t>
  </si>
  <si>
    <t>Udziały gmin w podatkach stanowiących dochód budżetu państwa</t>
  </si>
  <si>
    <t xml:space="preserve">podatek dochodowy od osób fizycznych </t>
  </si>
  <si>
    <t xml:space="preserve">podatek dochodowy od osób prawnych </t>
  </si>
  <si>
    <t>Różne rozliczenia</t>
  </si>
  <si>
    <t>Różne rozliczenia finansowe</t>
  </si>
  <si>
    <t>odsetki od środków na rachunkach bankowych</t>
  </si>
  <si>
    <t>odpisy na rachunek środków specjalnych izb skarbowych od dodatkowych wpływów przekazanych do budżatu miasta</t>
  </si>
  <si>
    <t>Wpływy do wyjaśnienia</t>
  </si>
  <si>
    <t>wpływy do wyjaśnienia</t>
  </si>
  <si>
    <t>Oświata i wychowanie</t>
  </si>
  <si>
    <t>Szkoły podstawowe</t>
  </si>
  <si>
    <t>wpływy z tytułu wynagrodzenia przysługującego płatnikowi za terminowe wpłacanie podatków pobranych na rzecz budżetu państwa i z tytułu wykonywania zadań 
z ubezpieczenia społecznego</t>
  </si>
  <si>
    <t>Przedszkola przy szkołach podstawowych</t>
  </si>
  <si>
    <t xml:space="preserve">opłaty za pobyt dzieci w klasach "0"                                                 </t>
  </si>
  <si>
    <t>Gimnazja</t>
  </si>
  <si>
    <t>odsetki od  środków na rachunkach bankowych</t>
  </si>
  <si>
    <t>Ochrona zdrowia</t>
  </si>
  <si>
    <t>Izby wytrzeźwień</t>
  </si>
  <si>
    <t>Opieka społeczna</t>
  </si>
  <si>
    <t>Ośrodki wsparcia</t>
  </si>
  <si>
    <t>opłaty za usługi świadczone podopiecznym</t>
  </si>
  <si>
    <t>Żłobki</t>
  </si>
  <si>
    <t xml:space="preserve">opłaty za pobyt w żłobkach                                                                </t>
  </si>
  <si>
    <t xml:space="preserve">Zasiłki i pomoc w naturze oraz składki na ubezpieczenia społeczne </t>
  </si>
  <si>
    <t>zwrot zasiłków udzielonych w latach ubiegłych</t>
  </si>
  <si>
    <t>Dodatki mieszkaniowe</t>
  </si>
  <si>
    <t>zwrot niesłusznie pobranych dodatków mieszkaniowych</t>
  </si>
  <si>
    <t>Ośrodki pomocy społecznej</t>
  </si>
  <si>
    <t>Usługi opiekuńcze i specjalistyczne usługi opiekuńcze</t>
  </si>
  <si>
    <t>opłaty podopiecznych za świadczone usługi</t>
  </si>
  <si>
    <t xml:space="preserve">opłaty za pobyt w schronisku dla bezdomnych </t>
  </si>
  <si>
    <t>Edukacyjna opieka wychowawcza</t>
  </si>
  <si>
    <t>Świetlice szkolne</t>
  </si>
  <si>
    <t xml:space="preserve">Przedszkola </t>
  </si>
  <si>
    <t>opłaty za pobyt w przedszkolach</t>
  </si>
  <si>
    <t>Przedszkola specjalne</t>
  </si>
  <si>
    <t>Gospodarka komunalna i ochrona środowiska</t>
  </si>
  <si>
    <t>Oczyszczanie miast i wsi</t>
  </si>
  <si>
    <t xml:space="preserve">opłaty za składowanie odpadów komunalnych w Rokitnie </t>
  </si>
  <si>
    <t>Fundusz Ochrony Środowiska i Gospodarki Wodnej</t>
  </si>
  <si>
    <t>Schroniska dla zwierząt</t>
  </si>
  <si>
    <t xml:space="preserve">wpływy ze sprzedaży psów w schronisku </t>
  </si>
  <si>
    <t>Oświetlenie ulic, placów i dróg</t>
  </si>
  <si>
    <t>opłaty wnoszone przez rolników za zużytą wodę (Rokitno)</t>
  </si>
  <si>
    <t>opłaty za korzystanie z przystanków przez prywatnych przewoźników</t>
  </si>
  <si>
    <t>wpłaty społecznych komitetów i innych podmiotów na inwestycje realizowane przy udziale mieszkańców</t>
  </si>
  <si>
    <t xml:space="preserve">Subwencje </t>
  </si>
  <si>
    <t>Dochody od osób prawnych, od osób fizycznych i od innych jednostek nieposiadających osobowości prawnej</t>
  </si>
  <si>
    <t>dotacja rekompensująca dochody utracone z tytułu zwolnień ustawowych</t>
  </si>
  <si>
    <t>Część oświatowa subwencji ogólnej dla jednostek samorządu terytorialnego</t>
  </si>
  <si>
    <t>subwencja oświatowa</t>
  </si>
  <si>
    <t>Część podstawowa subwencji ogólnej dla gmin</t>
  </si>
  <si>
    <t>subwencja podstawowa</t>
  </si>
  <si>
    <t>Część rekompensująca subwencji ogólnej dla gmin</t>
  </si>
  <si>
    <t>subwencja rekompensująca dochody utracone w związku z częściową likwidacją podatku 
od środków transportowych</t>
  </si>
  <si>
    <t>subwencja ogólna (rekompensująca dochody utracone z tytułu ulg i zwolnień ustawowych)</t>
  </si>
  <si>
    <t>Dotacje celowe i inne środki na zadania własne</t>
  </si>
  <si>
    <t>Transport i łączność</t>
  </si>
  <si>
    <t>Drogi publiczne gminne</t>
  </si>
  <si>
    <t>dotacja celowa z budżetu państwa na pokrycie kosztów współfinansowania
projektu pt. "Renowacja Starówki w Lublinie"</t>
  </si>
  <si>
    <t>dotacja celowa z budżetu państwa na dofinansowanie budowy Szkoły Podstawowej 
w os. Felin</t>
  </si>
  <si>
    <t xml:space="preserve">dotacja celowa z budżetu państwa na sfinansowanie zakładowego funduszu 
świadczeń socjalnych dla nauczycieli </t>
  </si>
  <si>
    <t>dotacja celowa z budżetu państwa na sfinansowanie prac komisji kwalifikacyjnych 
i egzaminacyjnych</t>
  </si>
  <si>
    <t xml:space="preserve">Opieka społeczna </t>
  </si>
  <si>
    <t>dotacja celowa z budżetu państwa na dofinansowanie wypłat dodatków mieszkaniowych</t>
  </si>
  <si>
    <t>dotacja celowa z budżetu państwa na dofinansowanie dożywiania uczniów</t>
  </si>
  <si>
    <t xml:space="preserve">Edukacyjna opieka wychowawcza </t>
  </si>
  <si>
    <t>dotacja celowa z budżetu państwa na sfinansowanie zakładowego funduszu świadczeń socjalnych dla nauczycieli</t>
  </si>
  <si>
    <t xml:space="preserve">dotacja z Narodowego Funduszu Ochrony Środowiska i Gospodarki Wodnej 
na kolektor sanitarny N-II </t>
  </si>
  <si>
    <t>Kultura fizyczna i sport</t>
  </si>
  <si>
    <t>Obiekty sportowe</t>
  </si>
  <si>
    <t>środki z Ministerstwa Edukacji Narodowej i Sportu na budowę wielofunkcyjnej hali sportowo-widowiskowej i lodowiska treningowego przy ul. Kazimierza Wielkiego</t>
  </si>
  <si>
    <t xml:space="preserve">PREZYDENT </t>
  </si>
  <si>
    <t>Miasta Lublin</t>
  </si>
  <si>
    <t>Andrzej Pruszkowski</t>
  </si>
  <si>
    <t>Dotacje celowe na zadania realizowane w drodze porozumień i umów</t>
  </si>
  <si>
    <t>dotacja celowa z budżetu państwa na realizację zadań z zakresu utrzymania 
grobów i cmentarzy wojennych</t>
  </si>
  <si>
    <t xml:space="preserve">środki z Gminy Garbów na prowadzenie doradztwa metodycznego dla nauczycieli   </t>
  </si>
  <si>
    <t>Oczyszcznie miast i wsi</t>
  </si>
  <si>
    <t>dotacja z Gminy Świdnik na refundację wydatków poniesionych na budowę 
składowiska odpadów komunalnych w Rokitnie</t>
  </si>
  <si>
    <t>Dotacje celowe z budżetu państwa na zadania zlecone z zakresu administracji rządowej</t>
  </si>
  <si>
    <t>dotacja celowa z budżetu państwa na zrekompensowanie utraconych dochodów ze sprzedaży lokali mieszkalnych na rzecz osób uprawnionych do ustawowej zniżki</t>
  </si>
  <si>
    <t>Urzędy wojewódzkie</t>
  </si>
  <si>
    <t xml:space="preserve">dotacja celowa z budżetu państwa na realizację bieżących zadań zleconych 
z ustawy "kompetencyjnej" </t>
  </si>
  <si>
    <t>dotacja celowa z budżetu państwa na sfinansowanie przeprowadzenia wyborów ławników</t>
  </si>
  <si>
    <t>dotacja celowa z budżetu państwa na sfinansowanie wymiany dowodów osobistych</t>
  </si>
  <si>
    <t>Urzędy naczelnych organów władzy państwowej, kontroli i ochrony prawa oraz sądownictwa</t>
  </si>
  <si>
    <t xml:space="preserve">Urzędy naczelnych organów władzy państwowej, kontroli i ochrony prawa </t>
  </si>
  <si>
    <t>dotacja celowa z budżetu państwa na sfinansowanie kosztów prowadzenia 
i aktualizowania rejestru wyborców</t>
  </si>
  <si>
    <t>Referenda ogólnokrajowe i konstytucyjne</t>
  </si>
  <si>
    <t>dotacja celowa z budżetu państwa na sfinansowanie przygotowania 
i przeprowadzenia referendum akcesyjnego</t>
  </si>
  <si>
    <t>Bezpieczeństwo publiczne i ochrona przecipożarowa</t>
  </si>
  <si>
    <t>Obrona cywilna</t>
  </si>
  <si>
    <t>dotacja celowa z budżetu państwa na finansowanie zadań z zakresu obrony cywilnej</t>
  </si>
  <si>
    <t>dotacja celowa z budżetu państwa na sfinansowanie części wyprawki szkolnej</t>
  </si>
  <si>
    <t xml:space="preserve">Ośrodki wsparcia </t>
  </si>
  <si>
    <t>dotacja celowa z budżetu państwa na utrzymanie Środowiskowego Domu 
Samopomocy przy ul. Gospodarczej</t>
  </si>
  <si>
    <t>dotacja celowa z budżetu państwa na prowadzenie Ośrodka Wsparcia 
przy ul. Bronowickiej</t>
  </si>
  <si>
    <t>dotacja celowa z budżetu państwa na prowadzenie Środowiskowego Domu Samopomocy przy al. Spółdzielczości Pracy</t>
  </si>
  <si>
    <t>dotacja celowa z budżetu państwa na zakupy inwestycyjne dla Ośrodka Wsparcia 
przy ul. Bronowickiej</t>
  </si>
  <si>
    <t>dotacja celowa z budżetu państwa na zakupy inwestycyjne dla Środowiskowego 
Domu Samopomocy przy al. Spółdzielczości Pracy</t>
  </si>
  <si>
    <t>Składki na ubezpieczenie zdrowotne opłacane za osoby pobierające niektóre świadczenia z pomocy społecznej</t>
  </si>
  <si>
    <t xml:space="preserve">dotacja celowa z budżetu państwa na składki na ubezpieczenie zdrowotne 
opłacane za osoby pobierające świadczenia z pomocy społecznej   </t>
  </si>
  <si>
    <t xml:space="preserve">dotacja celowa z budżetu państwa na zasiłki i  pomoc w naturze 
oraz na składki na ubezpieczenia społeczne  </t>
  </si>
  <si>
    <t>Zasiłki rodzinne, pielęgnacyjne i wychowawcze</t>
  </si>
  <si>
    <t>dotacja celowa z budżetu państwa na zasiłki rodzinne, pielęgnacyjne i wychowawcze</t>
  </si>
  <si>
    <t>dotacja celowa z budżetu państwa na utrzymanie Miejskiego Ośrodka Pomocy Rodzinie</t>
  </si>
  <si>
    <t xml:space="preserve">Usługi opiekuńcze i specjalistyczne usługi opiekuńcze </t>
  </si>
  <si>
    <t>dotacja celowa z budżetu państwa na usługi opiekuńcze i specjalistyczne</t>
  </si>
  <si>
    <t>Pomoc dla repatriantów</t>
  </si>
  <si>
    <t>dotacja celowa z budżetu państwa na pomoc repatriantom</t>
  </si>
  <si>
    <t xml:space="preserve">dotacja celowa z budżetu państwa na oświetlenie dróg publicznych </t>
  </si>
  <si>
    <t xml:space="preserve">dotacja celowa z budżetu państwa na inwestycje w zakresie oświetlenia dróg </t>
  </si>
  <si>
    <t>II. Dochody powiatu ogółem, z tego:</t>
  </si>
  <si>
    <t>Dochody własne</t>
  </si>
  <si>
    <t>01021</t>
  </si>
  <si>
    <t>Inspekcja Weterynaryjna</t>
  </si>
  <si>
    <t>Turystyka</t>
  </si>
  <si>
    <t>Ośrodki informacji turystycznej</t>
  </si>
  <si>
    <t>odsetki od środków dotacji z budżetu miasta zgromadzonych na rachunku bankowym</t>
  </si>
  <si>
    <t xml:space="preserve">Gospodarka mieszkaniowa </t>
  </si>
  <si>
    <t>wpływy z odpłatnego korzystania z mienia (najem)</t>
  </si>
  <si>
    <t>dochody z tytułu zarządzania nieruchomościami Skarbu Państwa</t>
  </si>
  <si>
    <t>Nadzór budowlany</t>
  </si>
  <si>
    <t>opłaty za wymianę kart wędkarskich</t>
  </si>
  <si>
    <t xml:space="preserve">Komendy powiatowe Państwowej Straży Pożarnej </t>
  </si>
  <si>
    <t>opłaty z tytułu wydawania tablic rejestracyjnych, praw jazdy, czasowych pozwoleń i innych</t>
  </si>
  <si>
    <t>opłata za wydanie licencji na wykonywanie krajowego transportu drogowego 
i opłata za wydanie zaświadczenia i wypisy z zaświadczenia na wykonywanie 
przewozu osób i rzeczy na potrzeby własne</t>
  </si>
  <si>
    <t>opłata za egzamin na wykonywanie transportu drogowego taksówką</t>
  </si>
  <si>
    <t>opłata za wydanie karty parkingowej</t>
  </si>
  <si>
    <t>Udziały powiatów w podatkach stanowiących dochód budżetu państwa</t>
  </si>
  <si>
    <t>podatek dochodowy od osób fizycznych</t>
  </si>
  <si>
    <t>Szkoły podstawowe specjalne</t>
  </si>
  <si>
    <t>Gimnazja specjalne</t>
  </si>
  <si>
    <t>Licea ogólnokształcące</t>
  </si>
  <si>
    <t>Licea ogólnokształcące specjalne</t>
  </si>
  <si>
    <t>Licea profilowane</t>
  </si>
  <si>
    <t>Szkoły zawodowe</t>
  </si>
  <si>
    <t>Szkoły artystyczne</t>
  </si>
  <si>
    <t>Szkoły zawodowe specjalne</t>
  </si>
  <si>
    <t>Centra kształcenia ustawicznego i praktycznego oraz ośrodki dokształcania zawodowego</t>
  </si>
  <si>
    <t>Gospodarstwa pomocnicze</t>
  </si>
  <si>
    <t>wpłata części zysku gospodarstw pomocniczych</t>
  </si>
  <si>
    <t>Placówki opiekuńczo-wychowawcze</t>
  </si>
  <si>
    <t>opłaty za pobyt w placówkach</t>
  </si>
  <si>
    <t xml:space="preserve">pozostałe dochody </t>
  </si>
  <si>
    <t>Domy pomocy społecznej</t>
  </si>
  <si>
    <t>opłaty pensjonariuszy za pobyt w domach pomocy społecznej</t>
  </si>
  <si>
    <t>Rodziny zastępcze</t>
  </si>
  <si>
    <t>odpłatność rodziców za pobyt dzieci w rodzinach zastępczych</t>
  </si>
  <si>
    <t>Ośrodki adopcyjno-opiekuńcze</t>
  </si>
  <si>
    <t>Powiatowe urzędy pracy</t>
  </si>
  <si>
    <t>Specjalne ośrodki szkolno-wychowawcze</t>
  </si>
  <si>
    <t xml:space="preserve">opłaty za pobyt </t>
  </si>
  <si>
    <t>Poradnie psychologiczno-pedagogiczne, w tym poradnie specjalistyczne</t>
  </si>
  <si>
    <t>Placówki wychowania pozaszkolnego</t>
  </si>
  <si>
    <t>pozostełe dochody</t>
  </si>
  <si>
    <t>Internaty i bursy szkolne</t>
  </si>
  <si>
    <t>opłaty za pobyt</t>
  </si>
  <si>
    <t>Szkolne schroniska młodzieżowe</t>
  </si>
  <si>
    <t>opłaty za noclegi w schronisku</t>
  </si>
  <si>
    <t>Część wyrównawcza subwencji ogólnej dla powiatów</t>
  </si>
  <si>
    <t>subwencja wyrównawcza</t>
  </si>
  <si>
    <t>Część drogowa subwencji ogólnej dla powiatów i województw</t>
  </si>
  <si>
    <t>subwencja drogowa</t>
  </si>
  <si>
    <t>020</t>
  </si>
  <si>
    <t xml:space="preserve">Leśnictwo </t>
  </si>
  <si>
    <t>02002</t>
  </si>
  <si>
    <t>Nadzór nad gospodarką leśną</t>
  </si>
  <si>
    <t>dotacja celowa z budżetu państwa na sfinansowanie nadzoru nad lasami</t>
  </si>
  <si>
    <t>Drogi publiczne w miastach na prawach powiatu</t>
  </si>
  <si>
    <t>dotacja celowa z budżetu państwa na dofinansowanie dodatków i premii 
oraz opłaconych od nich składek na ubezpieczenie społeczne dla opiekunów 
uczniowskich praktyk zawodowych</t>
  </si>
  <si>
    <t>dotacja celowa z budżetu państwa na sfinansowanie zakładowego funduszu świadczeń socjalnych dla nauczycieli emerytów i rencistów</t>
  </si>
  <si>
    <t>dotacja celowa z budżetu państwa na utrzymanie placówek opiekuńczo-wychowawczych</t>
  </si>
  <si>
    <t>dotacja celowa z budżetu państwa na utrzymanie domów pomocy społecznej</t>
  </si>
  <si>
    <t>środki z Polsko-Szwajcarskiej Komisji Środków Złotowych na inwestycje w Domu 
Pomocy Społecznej im. Matki Teresy z Kalkuty</t>
  </si>
  <si>
    <t>dotacja celowa z budżetu państwa na pomoc finansową dla dzieci umieszczonych 
w rodzinach zastępczych</t>
  </si>
  <si>
    <t>Państwowy Fundusz Rehabilitacji Osób Niepełnosprawnych</t>
  </si>
  <si>
    <t>środki na częściowe sfinansowanie kosztów obsługi zadań z zakresu rehabilitacji
zawodowej i społecznej</t>
  </si>
  <si>
    <t>Ośrodki adopcyjno - opiekuńcze</t>
  </si>
  <si>
    <t>dotacja celowa z budżetu państwa na utrzymanie Ośrodka Adopcyjno-Opiekuńczego</t>
  </si>
  <si>
    <t>dotacja celowa z budżetu państwa na utrzymanie Miejskiego Urzędu Pracy</t>
  </si>
  <si>
    <t xml:space="preserve">dotacja celowa z budżetu państwa na sfinansowanie zakładowego funduszu świadczeń socjalnych dla nauczycieli emerytów i rencistów  </t>
  </si>
  <si>
    <t>Pomoc materialna dla uczniów</t>
  </si>
  <si>
    <t>dotacja celowa z budżetu państwa na pomoc materialną dla młodzieży wiejskiej</t>
  </si>
  <si>
    <t>Gospodarka odpadami</t>
  </si>
  <si>
    <t>dotacja celowa z budżetu państwa na budowę składowiska odpadów komunalnych 
w Rokitnie - etap I</t>
  </si>
  <si>
    <t>Komendy powiatowe Państwowej Straży Pożarnej</t>
  </si>
  <si>
    <t>dotacja celowa na dofinansowanie zakupu specjalistycznego samochodu pożarniczego</t>
  </si>
  <si>
    <t>801</t>
  </si>
  <si>
    <t>80132</t>
  </si>
  <si>
    <t>dotacja celowa z budżetu państwa na finansowanie Szkoły Muzycznej</t>
  </si>
  <si>
    <t>853</t>
  </si>
  <si>
    <t>85303</t>
  </si>
  <si>
    <t>dotacja celowa na prowadzenie Ośrodka Wsparcia dla Rodzin z Dzieckiem Niepełnosprawnym</t>
  </si>
  <si>
    <t>921</t>
  </si>
  <si>
    <t>Kultura i ochrona dziedzictwa narodowego</t>
  </si>
  <si>
    <t>92106</t>
  </si>
  <si>
    <t>Teatry dramatyczne i lalkowe</t>
  </si>
  <si>
    <t>dotacja celowa z budżetu państwa na organizację Międzynarodowego Festiwalu Teatralnego Tradycji Bożonarodzeniowej "Betlejem Lubelskie"</t>
  </si>
  <si>
    <t xml:space="preserve">Dotacje celowe z budżetu państwa na zadania z zakresu administracji rządowej </t>
  </si>
  <si>
    <t>dotacja celowa z budżetu państwa na utrzymanie Miejskiego Inspektoratu Weterynarii</t>
  </si>
  <si>
    <t>dotacja celowa z budżetu państwa dla Miejskiego Inspektoratu Weterynarii na pokrycie kosztów rocznych przeglądów prac restrukturyzacyjnych w zakładach deklarujących dostosowanie do wymogów Unii Europejskiej</t>
  </si>
  <si>
    <t>dotacja celowa z budżetu państwa na finansowanie zadań bieżących z zakresu gospodarki nieruchomościami</t>
  </si>
  <si>
    <t>Prace geodezyjne i kartograficzne (nieinwestycyjne)</t>
  </si>
  <si>
    <t xml:space="preserve">dotacja celowa z budżetu państwa na modernizację ewidencji gruntów </t>
  </si>
  <si>
    <t>dotacja celowa z budżetu państwa na utrzymanie Powiatowego Inspektoratu Nadzoru Budowlanego</t>
  </si>
  <si>
    <t>dotacja celowa z budżetu państwa na zakupy inwestycyjne dla Powiatowego Inspektoratu Nadzoru Budowlanego</t>
  </si>
  <si>
    <t>dotacja celowa z budżetu państwa na realizację zadań z zakresu administracji rządowej</t>
  </si>
  <si>
    <t>Komisje poborowe</t>
  </si>
  <si>
    <t>dotacja celowa z budżetu państwa na przeprowadzenie poboru do wojska</t>
  </si>
  <si>
    <t>dotacja celowa z budżetu państwa na utrzymanie Komendy Miejskiej Państwowej 
Straży Pożarnej</t>
  </si>
  <si>
    <t>Ratownictwo medyczne</t>
  </si>
  <si>
    <t>dotacja celowa z budżetu państwa na dofinansowanie funkcjonowania Centrum Powiadamiania Ratunkowego</t>
  </si>
  <si>
    <t>Składki na ubezpieczenie zdrowotne oraz świadczenia dla osób nieobjętych obowiązkiem ubezpieczenia zdrowotnego</t>
  </si>
  <si>
    <t xml:space="preserve">dotacja celowa z budżetu państwa na składki na ubezpieczenie zdrowotne 
za dzieci i uczniów niepozostających na utrzymaniu osoby ubezpieczonej </t>
  </si>
  <si>
    <t>dotacja celowa z budżetu państwa na składki na ubezpieczenie zdrowotne 
za bezrobotnych bez prawa do zasiłku</t>
  </si>
  <si>
    <t xml:space="preserve">dotacja celowa z budżetu państwa na prowadzenie środowiskowych domów samopomocy </t>
  </si>
  <si>
    <t>dotacja celowa z budżetu państwa na zasiłki dla pracowników Straży Pożarnej</t>
  </si>
  <si>
    <t>Zespoły do spraw orzekania o niepełnosprawności</t>
  </si>
  <si>
    <t>dotacja celowa z budżetu państwa na utrzymanie zespołu ds. orzekania 
o niepełnosprawności</t>
  </si>
  <si>
    <t xml:space="preserve">dotacja celowa z budżetu państwa na zakupy inwestycyjne dla zespołu ds. orzekania 
o niepełnosprawności </t>
  </si>
  <si>
    <t>Pomoc dla uchodźców</t>
  </si>
  <si>
    <t>dotacja celowa z budżetu państwa na pomoc dla cudzoziemców posiadających status uchodźców</t>
  </si>
  <si>
    <t>Załącznik Nr 2</t>
  </si>
  <si>
    <t xml:space="preserve">Wydatki </t>
  </si>
  <si>
    <t>Treść</t>
  </si>
  <si>
    <t>Plan na 2003 rok po zmianach</t>
  </si>
  <si>
    <t>Wykonanie na 
31 grudnia
2003 roku</t>
  </si>
  <si>
    <t>%                  6:5</t>
  </si>
  <si>
    <t>Rozdz.</t>
  </si>
  <si>
    <t>(nazwa działu, rozdziału, zadania)</t>
  </si>
  <si>
    <t>Wydatki budżetu miasta ogółem</t>
  </si>
  <si>
    <t>Wydatki na zadania własne</t>
  </si>
  <si>
    <t>01030</t>
  </si>
  <si>
    <t xml:space="preserve">Izby rolnicze </t>
  </si>
  <si>
    <t>wpłaty na rzecz Lubelskiej Izby Rolniczej</t>
  </si>
  <si>
    <t>Leśnictwo</t>
  </si>
  <si>
    <t xml:space="preserve">Nadzór nad gospodarką leśną </t>
  </si>
  <si>
    <t>zadania w zakresie nadzoru nad lasami</t>
  </si>
  <si>
    <t xml:space="preserve">Handel </t>
  </si>
  <si>
    <t>porządkowanie targowisk, handlu ulicznego</t>
  </si>
  <si>
    <t>Lokalny transport zbiorowy</t>
  </si>
  <si>
    <t>usługi komunikacyjne w zakresie transportu zbiorowego</t>
  </si>
  <si>
    <t>pokrycie straty bilansowej w MPK Lublin Sp. z o.o.</t>
  </si>
  <si>
    <t>bieżące utrzymanie dróg</t>
  </si>
  <si>
    <t>remonty dróg</t>
  </si>
  <si>
    <t>inwestycje</t>
  </si>
  <si>
    <t>Drogi wewnętrzne</t>
  </si>
  <si>
    <t>dotacja dla Lubelskiego Ośrodka Informacji Turystycznej</t>
  </si>
  <si>
    <t>w tym promocja miasta - 50.000 zł</t>
  </si>
  <si>
    <t>Zadania w zakresie upowszechniania turystyki</t>
  </si>
  <si>
    <t>upowszechnianie turystyki i krajoznawstwa</t>
  </si>
  <si>
    <t xml:space="preserve">dotacja dla Zarządu Nieruchomości Komunalnych </t>
  </si>
  <si>
    <t>w tym środki na specjalistyczne prace konserwatorskie
w budynkach w obrębie Starego Miasta - 82.737 zł</t>
  </si>
  <si>
    <t xml:space="preserve">Różne jednostki obsługi gospodarki mieszkaniowej </t>
  </si>
  <si>
    <t>koszty rozbiórek budynków</t>
  </si>
  <si>
    <t>koszty przeprowadzek i przechowywania rzeczy osób eksmitowanych oraz zakwaterowania osób poszkodowanych 
w wypadkach losowych</t>
  </si>
  <si>
    <t>wydatki związane z utrzymaniem zasobów komunalnych, sprzedażą mienia komunalnego oraz szacunki nieruchomości</t>
  </si>
  <si>
    <t>odszkodowania</t>
  </si>
  <si>
    <t>Towarzystwa budownictwa społecznego</t>
  </si>
  <si>
    <t>wydatki majątkowe</t>
  </si>
  <si>
    <t>ogłoszenia prasowe</t>
  </si>
  <si>
    <t>Plany zagospodarowania przestrzennego</t>
  </si>
  <si>
    <t>koszty funkcjonowania Miejskiej Komisji Urbanistyczno-Architektonicznej</t>
  </si>
  <si>
    <t>opracowania planistyczne, strategia rozwoju miasta i inne</t>
  </si>
  <si>
    <t>Opracowania geodezyjne i kartograficzne</t>
  </si>
  <si>
    <t>regulacja stanów geodezyjno - prawnych nieruchomości, opracowania geodezyjne</t>
  </si>
  <si>
    <t>utrzymanie cmentarzy komunalnych i urządzeń cmentarnych</t>
  </si>
  <si>
    <t>utrzymanie cmentarza przy ul. Walecznych</t>
  </si>
  <si>
    <t>Rady miast i miast na prawach powiatu</t>
  </si>
  <si>
    <t>wydatki związane z funkcjonowaniem Rady Miasta</t>
  </si>
  <si>
    <t>wydatki związane z funkcjonowaniem jednostek pomocniczych  miasta</t>
  </si>
  <si>
    <t>wynagrodzenia osobowe</t>
  </si>
  <si>
    <t>wydatki rzeczowe</t>
  </si>
  <si>
    <t>pochodne od wynagrodzeń</t>
  </si>
  <si>
    <t>Pobór podatków, opłat i niepodatkowych należności budżetowych</t>
  </si>
  <si>
    <t>wynagrodzenie za inkaso opłaty targowej i podatków</t>
  </si>
  <si>
    <t>wydatki związane z promocją miasta</t>
  </si>
  <si>
    <t>w tym promocja i informacja gospodarcza - 43.252 zł</t>
  </si>
  <si>
    <t>działalność w ramach Związku Transgranicznego   
"Euroregion Bug"</t>
  </si>
  <si>
    <t>Komendy powiatowe Policji</t>
  </si>
  <si>
    <t xml:space="preserve">dofinansowanie działań na rzecz utrzymania bezpieczeństwa 
w mieście </t>
  </si>
  <si>
    <t>dofinansowanie Straży Pożarnej</t>
  </si>
  <si>
    <t>Ochotnicze straże pożarne</t>
  </si>
  <si>
    <t>wydatki Ochotniczej Straży Pożarnej w Głusku i OSP - Ratownictwo Wodne w Lublinie</t>
  </si>
  <si>
    <t>system monitoringu w mieście</t>
  </si>
  <si>
    <t>Obsługa długu publicznego</t>
  </si>
  <si>
    <t>Obsługa papierów wartościowych, kredytów i pożyczek jednostek samorządu terytorialnego</t>
  </si>
  <si>
    <t xml:space="preserve">wydatki związane z obsługą emisji obligacji komunalnych, kredytów 
i pożyczek </t>
  </si>
  <si>
    <t>wypłata oprocentowania obligacji</t>
  </si>
  <si>
    <t xml:space="preserve">odsetki od pożyczek i kredytów </t>
  </si>
  <si>
    <t>Rezerwy ogólne i celowe</t>
  </si>
  <si>
    <t>rezerwa budżetowa</t>
  </si>
  <si>
    <t xml:space="preserve">rezerwa na wydatki związane z usuwaniem skutków klęsk żywiołowych </t>
  </si>
  <si>
    <t>Prywatyzacja</t>
  </si>
  <si>
    <t>wydatki związane ze sprzedażą spółek</t>
  </si>
  <si>
    <t>wydatki związane z akcją "Bezpieczna droga"</t>
  </si>
  <si>
    <t>dotacje dla niepublicznych szkół podstawowych</t>
  </si>
  <si>
    <t>dotacje dla gimnazjów publicznych i niepublicznych</t>
  </si>
  <si>
    <t>Dowożenie uczniów do szkół</t>
  </si>
  <si>
    <t>dowożenie uczniów do szkół</t>
  </si>
  <si>
    <t xml:space="preserve">dotacje dla publicznych i niepublicznych liceów </t>
  </si>
  <si>
    <t>dotacje dla publicznych liceów profilowanych</t>
  </si>
  <si>
    <t xml:space="preserve">Szkoły zawodowe </t>
  </si>
  <si>
    <t>dotacje dla publicznych i niepublicznych szkół zawodowych</t>
  </si>
  <si>
    <t>Komisje egzaminacyjne</t>
  </si>
  <si>
    <t>koszty funkcjonowania komisji egzaminacyjnych</t>
  </si>
  <si>
    <t>Dokształcanie i doskonalenie nauczycieli</t>
  </si>
  <si>
    <t>dokształcanie i doskonalenie zawodowe nauczycieli</t>
  </si>
  <si>
    <t>nagrody rzeczowe dla laureatów konkursów i olimpiad przedmiotowych</t>
  </si>
  <si>
    <t>rezerwa na uruchomienie od 1 września 2003 roku drugiego segmentu dydaktycznego w Zespole Szkół Nr 5 oraz segmentu administracyjnego i stołówek w szkołach podstawowych: 
Nr 51 i Nr 52</t>
  </si>
  <si>
    <t xml:space="preserve">zakładowy fundusz świadczeń socjalnych dla nauczycieli emerytów 
i rencistów </t>
  </si>
  <si>
    <t xml:space="preserve">dotacja na sfinansowanie zakładowego funduszu świadczeń socjalnych dla nauczycieli emerytów i rencistów </t>
  </si>
  <si>
    <t>dotacja przedmiotowa na częściowe pokrycie kosztów centralnego ogrzewania warsztatów szkolnych</t>
  </si>
  <si>
    <t>Lecznictwo ambulatoryjne</t>
  </si>
  <si>
    <t>zakup świadczeń zdrowotnych</t>
  </si>
  <si>
    <t>programy zdrowotne</t>
  </si>
  <si>
    <t>pokrycie kosztów kształcenia i podnoszenia kwalifikacji osób wykonujących zawody medyczne</t>
  </si>
  <si>
    <t>Programy polityki zdrowotnej</t>
  </si>
  <si>
    <t>Zwalczanie narkomanii</t>
  </si>
  <si>
    <t>zadania realizowane w ramach Gminnego Programu Przeciwdziałania Narkomanii</t>
  </si>
  <si>
    <t>Przeciwdziałanie alkoholizmowi</t>
  </si>
  <si>
    <t>zadania realizowane w ramach Gminnego Programu Profilaktyki 
i Rozwiązywania Problemów Alkoholowych</t>
  </si>
  <si>
    <t xml:space="preserve">realizacja zadań wynikających z uchwalonej przez Radę Miasta strategii działań na rzecz osób niepełnosprawnych </t>
  </si>
  <si>
    <t>Szkoła Ratownictwa Medyczno - Sanitarnego</t>
  </si>
  <si>
    <t>Placówki opiekuńczo-wychowacze</t>
  </si>
  <si>
    <t>dotacje dla niepublicznych placówek opiekuńczo-wychowawczych</t>
  </si>
  <si>
    <t>dotacja na prowadzenie Domu Pomocy Społecznej przy 
ul. Dolińskiego</t>
  </si>
  <si>
    <t xml:space="preserve">prowadzenie Ośrodka Wsparcia dla Rodzin z Dzieckiem Niepełnosprawnym </t>
  </si>
  <si>
    <t>świadczenia społeczne</t>
  </si>
  <si>
    <t>dodatki mieszkaniowe</t>
  </si>
  <si>
    <t>w tym z budżetu miasta</t>
  </si>
  <si>
    <t>wydatki związane z utrzymaniem zespołu do spraw orzekania 
o niepełnosprawności</t>
  </si>
  <si>
    <t>usługi opiekuńcze</t>
  </si>
  <si>
    <t xml:space="preserve">wydatki związane z pomocą udzielaną repatriantom </t>
  </si>
  <si>
    <t xml:space="preserve">fundusz świadczeń socjalnych dla nauczycieli emerytów 
i rencistów byłych pracowników placówek opiekuńczo-wychowawczych </t>
  </si>
  <si>
    <t>prowadzenie Banku Żywności</t>
  </si>
  <si>
    <t>przeciwdziałanie bezrobociu i aktywizacja lokalnego rynku pracy</t>
  </si>
  <si>
    <t>dofinansowanie schronisk dla bezdomnych</t>
  </si>
  <si>
    <t>pomoc osobom niepełnosprawnym</t>
  </si>
  <si>
    <t xml:space="preserve">dożywianie uczniów </t>
  </si>
  <si>
    <t xml:space="preserve">raport o stanie rodziny </t>
  </si>
  <si>
    <t>Specjalne ośrodki szkolno - wychowawcze</t>
  </si>
  <si>
    <t>dotacje dla niepublicznych ośrodków szkolno-wychowawczych</t>
  </si>
  <si>
    <t xml:space="preserve">inwestycje </t>
  </si>
  <si>
    <t xml:space="preserve">dotacje dla przedszkoli publicznych i niepublicznych  </t>
  </si>
  <si>
    <t>Poradnie psychologiczno - pedagogiczne, w tym poradnie specjalistyczne</t>
  </si>
  <si>
    <t xml:space="preserve">dotacje dla niepublicznych burs i internatów </t>
  </si>
  <si>
    <t>Kolonie i obozy oraz inne formy wypoczynku dzieci 
i młodzieży szkolnej, a także szkolenia młodzieży</t>
  </si>
  <si>
    <t>organizacja wypoczynku letniego i zimowego dla dzieci 
i młodzieży</t>
  </si>
  <si>
    <t xml:space="preserve">stypendia oraz inne formy pomocy dla uczniów </t>
  </si>
  <si>
    <t>pomoc materialna dla młodzieży wiejskiej</t>
  </si>
  <si>
    <t>utrzymanie stołówek szkolnych, z tego:</t>
  </si>
  <si>
    <t xml:space="preserve">Gospodarka komunalna i ochrona środowiska </t>
  </si>
  <si>
    <t>Gospodarka ściekowa i ochrona wód</t>
  </si>
  <si>
    <t>eksploatacja bieżąca i konserwacja kanalizacji deszczowej</t>
  </si>
  <si>
    <t>eksploatacja bieżąca i konserwacja zdrojów ulicznych, zbiorników p.poż. i punktów szybkiego napełniania wody, zabezpieczenie ujęcia wodnego</t>
  </si>
  <si>
    <t>utrzymanie fontanny na Placu Litewskim</t>
  </si>
  <si>
    <t>dofinansowanie utrzymania wodociągów wiejskich</t>
  </si>
  <si>
    <t>bieżące utrzymanie Zbiornika Zemborzyckiego</t>
  </si>
  <si>
    <t>opłata za korzystanie ze środowiska</t>
  </si>
  <si>
    <t>konserwacja i utrzymanie rowów odwadniających</t>
  </si>
  <si>
    <t>zimowe oczyszczanie miasta</t>
  </si>
  <si>
    <t>eksploatacja składowiska odpadów komunalnych w Rokitnie</t>
  </si>
  <si>
    <t>letnie oczyszczanie miasta</t>
  </si>
  <si>
    <t>sprzątanie przystanków i utrzymanie wiat przystankowych</t>
  </si>
  <si>
    <t>prace porządkowe doraźne</t>
  </si>
  <si>
    <t>konserwacja i utrzymanie szaletów miejskich</t>
  </si>
  <si>
    <t>wywóz nieczystości stałych</t>
  </si>
  <si>
    <t>selektywna zbiórka odpadów</t>
  </si>
  <si>
    <t>Utrzymanie zieleni w miastach i gminach</t>
  </si>
  <si>
    <t>zakup materiałów i wyposażenia do parków, skwerów i placów zabaw</t>
  </si>
  <si>
    <t>utrzymanie, konserwacja i renowacja zieleni</t>
  </si>
  <si>
    <t>konserwacja rowów i urządzeń melioracyjnych w Parku Ludowym</t>
  </si>
  <si>
    <t>konserwacja urządzeń małej architektury ogrodowej w parkach, 
na skwerach i miejskich placach zabaw</t>
  </si>
  <si>
    <t>prowadzenie schroniska dla zwierząt</t>
  </si>
  <si>
    <t>oświetlenie dróg</t>
  </si>
  <si>
    <t>konserwacja i obsługa urządzeń oświetlenia</t>
  </si>
  <si>
    <t>oświetlenie dróg krajowych, wojewódzkich i powiatowych</t>
  </si>
  <si>
    <t>plan zaopatrzenia miasta w nośniki energii</t>
  </si>
  <si>
    <t>utrzymanie miejsc pamięci narodowej</t>
  </si>
  <si>
    <t>Pozostałe zadania w zakresie kultury</t>
  </si>
  <si>
    <t>upowszechnianie kultury i sztuki</t>
  </si>
  <si>
    <t>stypendia dla młodzieży szkół artystycznych</t>
  </si>
  <si>
    <t>nagroda artystyczna</t>
  </si>
  <si>
    <t>nagroda Miasta Lublina za upowszechnianie kultury</t>
  </si>
  <si>
    <t>dotacja dla Teatru H. Ch. Andersena</t>
  </si>
  <si>
    <t>Domy i ośrodki kultury, świetlice i kluby</t>
  </si>
  <si>
    <t>dotacja dla Dzielnicowego Domu Kultury "Bronowice"</t>
  </si>
  <si>
    <t>dotacja dla Zespołu Pieśni i Tańca "Lublin" im. W. Kaniorowej</t>
  </si>
  <si>
    <t>dotacja dla Ośrodka "Brama Grodzka - Teatr NN"</t>
  </si>
  <si>
    <t>Galerie i biura wystaw artystycznych</t>
  </si>
  <si>
    <t>dotacja dla Biura Wystaw Artystycznych</t>
  </si>
  <si>
    <t>Centra kultury i sztuki</t>
  </si>
  <si>
    <t>dotacja dla Centrum Kultury</t>
  </si>
  <si>
    <t>Biblioteki</t>
  </si>
  <si>
    <t xml:space="preserve">dotacja dla Miejskiej Biblioteki Publicznej </t>
  </si>
  <si>
    <t>Ochrona i konserwacja zabytków</t>
  </si>
  <si>
    <t>bezzwrotna pomoc na remonty dla właścicieli budynków zabytkowych</t>
  </si>
  <si>
    <t>rewaloryzacja zabytków, z tego:</t>
  </si>
  <si>
    <t>remonty obiektów zabytkowych</t>
  </si>
  <si>
    <t>utrzymanie komunalnych obiektów sportowych</t>
  </si>
  <si>
    <t>Instytucje kultury fizycznej</t>
  </si>
  <si>
    <t>dotacja dla MOSiR "Bystrzyca"</t>
  </si>
  <si>
    <t>Zadania w zakresie kultury fizycznej i sportu</t>
  </si>
  <si>
    <t>zadania w zakresie upowszechniania kultury fizycznej</t>
  </si>
  <si>
    <t>zajęcia sportowo - rekreacyjne w szkołach</t>
  </si>
  <si>
    <t>nagrody Prezydenta Miasta Lublina i inne dla zawodników 
i kadry szkoleniowej</t>
  </si>
  <si>
    <t>Wydatki na zadania realizowane na podstawie porozumień 
i umów</t>
  </si>
  <si>
    <t>wydatki związane z utrzymaniem grobów i cmentarzy wojennych</t>
  </si>
  <si>
    <t>pomoc finansowa dla gminy Lubartów na inwestycje</t>
  </si>
  <si>
    <t>dotacja dla gminy Głusk na obsługę biblioteczną mieszkańców Lublina</t>
  </si>
  <si>
    <t>Wydatki na zadania zlecone</t>
  </si>
  <si>
    <t>Wydatki na zadania ustawowo zlecone gminie</t>
  </si>
  <si>
    <t>Urzędy naczelnych organów władzy państwowej, kontroli 
i ochrony prawa oraz sądownictwa</t>
  </si>
  <si>
    <t>Urzędy naczelnych organów władzy państwowej, kontroli 
i ochrony prawa</t>
  </si>
  <si>
    <t>koszty prowadzenia i aktualizowania rejestru wyborców</t>
  </si>
  <si>
    <t>koszty przygotowania i przeprowadzenia referendum akcesyjnego</t>
  </si>
  <si>
    <t>wydatki z zakresu obrony cywilnej</t>
  </si>
  <si>
    <t>wydatki związane z finansowaniem części wyprawki szkolnej</t>
  </si>
  <si>
    <t>utrzymanie Środowiskowego Domu Samopomocy przy 
ul. Gospodarczej, z tego:</t>
  </si>
  <si>
    <t>dotacja na prowadzenie Ośrodka Wsparcia przy ul. Bronowickiej</t>
  </si>
  <si>
    <t>dotacja na zakupy inwestycyjne dla Ośrodka Wsparcia 
przy ul. Bronowickiej</t>
  </si>
  <si>
    <t>dotacja na prowadzenie Środowiskowego Domu Samopomocy przy al. Spółdzielczości Pracy</t>
  </si>
  <si>
    <t>dotacja na zakupy inwestycyjne dla Środowiskowego Domu Samopomocy przy al. Spółdzielczości Pracy</t>
  </si>
  <si>
    <t>składki na ubezpieczenie zdrowotne osób korzystających 
ze świadczeń pomocy społecznej</t>
  </si>
  <si>
    <t>Zasiłki i pomoc w naturze oraz składki na ubezpieczenia społeczne</t>
  </si>
  <si>
    <t xml:space="preserve">usługi opiekuńcze </t>
  </si>
  <si>
    <t>wydatki związane z pomocą udzielaną repatriantom</t>
  </si>
  <si>
    <t>wydatki związane z oświetleniem dróg krajowych, wojewódzkich 
i powiatowych</t>
  </si>
  <si>
    <t>wydatki na inwestycje w zakresie oświetlenia dróg krajowych, wojewódzkich i powiatowych</t>
  </si>
  <si>
    <t>Wydatki na zadania z zakresu administracji rządowej wykonywane przez powiat</t>
  </si>
  <si>
    <t>wydatki Miejskiego Inspektoratu Weterynarii związane z rocznymi przeglądami prac restrukturyzacyjnych w zakładach deklarujących dostosowanie się do wymogów Unii Europejskiej</t>
  </si>
  <si>
    <t>700</t>
  </si>
  <si>
    <t>gospodarka nieruchomościami</t>
  </si>
  <si>
    <t>modernizacja ewidencji gruntów w obrębach przyłączonych 
do miasta Lublina</t>
  </si>
  <si>
    <t>sfinansowanie wydatków związanych z przygotowaniem 
i przeprowadzeniem poboru do wojska</t>
  </si>
  <si>
    <t>wydatki związane z funkcjonowaniem Centrum Powiadamiania Ratunkowego</t>
  </si>
  <si>
    <t>wydatki związane z opłacaniem składek na ubezpieczenie zdrowotne uczniów oraz wychowanków placówek opiekuńczo-wychowawczych</t>
  </si>
  <si>
    <t>wydatki związane z opłacaniem składek na ubezpieczenie zdrowotne osób bezrobotnych bez prawa do zasiłku</t>
  </si>
  <si>
    <t>dotacja na prowadzenie Środowiskowego Domu Samopomocy przy ul. Abramowickiej "Misericordia"</t>
  </si>
  <si>
    <t>dotacja na prowadzenie Środowiskowego Domu Samopomocy "Roztocze" przy ul. Wallenroda</t>
  </si>
  <si>
    <t>świadczenia społeczne dla pracowników Straży Pożarnej</t>
  </si>
  <si>
    <t xml:space="preserve">wydatki na zakupy inwestycyjne dla zespołu do spraw orzekania 
o niepełnosprawności </t>
  </si>
  <si>
    <t>wydatki związane z pomocą udzielaną cudzoziemcom posiadającym status uchodźców</t>
  </si>
  <si>
    <t>Załącznik Nr 3</t>
  </si>
  <si>
    <t>Przychody i rozchody</t>
  </si>
  <si>
    <t>Planowane przychody 
na 2003 r.
wg uchwały budżetowej</t>
  </si>
  <si>
    <t>Plan na 
2003 r. 
po zmianach</t>
  </si>
  <si>
    <t>Wykonanie przychodów na 31 grudnia 
2003 roku</t>
  </si>
  <si>
    <t>Planowane rozchody 
na 2003 r.
wg uchwały budżetowej</t>
  </si>
  <si>
    <t>Plan na
2003 r.
po zmianach</t>
  </si>
  <si>
    <t>Wykonanie rozchodów na 
31 grudnia 
2003 roku</t>
  </si>
  <si>
    <t>Ogółem</t>
  </si>
  <si>
    <t>Nadwyżki z lat ubiegłych</t>
  </si>
  <si>
    <t>Wolne środki stanowiące nadwyżkę środków pieniężnych na rachunku bieżącym budżetu miasta wynikającą z rozliczeń z lat ubiegłych</t>
  </si>
  <si>
    <t xml:space="preserve">Przychody ze sprzedaży innych papierów wartościowych </t>
  </si>
  <si>
    <t>Emisja obligacji</t>
  </si>
  <si>
    <t>Wykup innych papierów wartościowych</t>
  </si>
  <si>
    <t>Wykup obligacji pięcioletnich wyemitowanych w 1998 roku</t>
  </si>
  <si>
    <t>Przychody z zaciągniętych pożyczek i kredytów na rynku krajowym</t>
  </si>
  <si>
    <t>Pożyczki i kredyty</t>
  </si>
  <si>
    <t>Spłaty otrzymanych krajowych pożyczek i kredytów</t>
  </si>
  <si>
    <t xml:space="preserve">Spłata zaciągniętych pożyczek i kredytów </t>
  </si>
  <si>
    <t>Przychody z prywatyzacji majątku pozostałego po likwidacji państwowych jednostek organizacyjnych oraz spółek z udziałem Skarbu Państwa</t>
  </si>
  <si>
    <t>Wpływy ze sprzedaży udziałów Przedsiębiorstwa Piekarskiego Sp. z o.o.</t>
  </si>
  <si>
    <t xml:space="preserve">Wydatki majątkowe </t>
  </si>
  <si>
    <t>Załącznik Nr 4</t>
  </si>
  <si>
    <t>Planowane wydatki majątkowe na 2003 rok 
wg uchwały budżetowej</t>
  </si>
  <si>
    <t>Planowane wydatki majątkowe na 2003 rok po zmianach</t>
  </si>
  <si>
    <t>Wykonanie na 31 grudnia 
2003 roku</t>
  </si>
  <si>
    <t xml:space="preserve">Nazwa: działu, rozdziału, </t>
  </si>
  <si>
    <t>ze środków</t>
  </si>
  <si>
    <t>kredytów,</t>
  </si>
  <si>
    <t xml:space="preserve">ze </t>
  </si>
  <si>
    <t>ze środków własnych budżetu miasta</t>
  </si>
  <si>
    <t>z kredytów, pożyczek 
i innych środków</t>
  </si>
  <si>
    <t>ze środków budżetu państwa</t>
  </si>
  <si>
    <t>z kredytów, pożyczek 
i innych środkow</t>
  </si>
  <si>
    <t>%                    9:5</t>
  </si>
  <si>
    <t>%                           10:6</t>
  </si>
  <si>
    <t>zadania inwestycyjnego</t>
  </si>
  <si>
    <t xml:space="preserve">własnych </t>
  </si>
  <si>
    <t xml:space="preserve">pożyczek </t>
  </si>
  <si>
    <t>środków</t>
  </si>
  <si>
    <t>budżetu miasta</t>
  </si>
  <si>
    <t>i innych środków</t>
  </si>
  <si>
    <t>budżetu państwa</t>
  </si>
  <si>
    <t>Ogółem wydatki majątkowe</t>
  </si>
  <si>
    <t>ul. Willowa</t>
  </si>
  <si>
    <t>przebudowa al. Spółdzielczości Pracy</t>
  </si>
  <si>
    <t>przebudowa ul. Narutowicza 
(od ul. Bernardyńskiej do skrzyżowania 
z ul. Okopową i Mościckiego) 
z Placem Wolności, z ul. Kapucyńską                                         i ul. Wróblewskiego</t>
  </si>
  <si>
    <t>trasa zielona</t>
  </si>
  <si>
    <t>węzeł drogowy Poniatowskiego (wiadukt 
z połączeniem do ul. ks. Popiełuszki)</t>
  </si>
  <si>
    <t>przebudowa ul. Królewskiej wraz z Placem Katedralnym</t>
  </si>
  <si>
    <t>połączenie ul. Głębokiej 
z ul. Spadochroniarzy</t>
  </si>
  <si>
    <t>ul. Bohaterów Monte Cassino - 
ul. Wojciechowska - ul. Powstania Styczniowego</t>
  </si>
  <si>
    <t>przebudowa al. Kraśnickiej</t>
  </si>
  <si>
    <t>sygnalizacje świetlne</t>
  </si>
  <si>
    <t>przebudowa ciągu ulic: Długosza-Leszczyńskiego-Czechowska</t>
  </si>
  <si>
    <t>obwodnica miejska od węzła al. Tysiąclecia - ul. Hutnicza do ul. Mełgiewskiej</t>
  </si>
  <si>
    <t>przebudowa ul. Budowlanej wraz ze skrzyżowaniem z ul. Zemborzycką</t>
  </si>
  <si>
    <t xml:space="preserve">przebudowa skrzyżowania: Al. Racławickie - Długosza - Łopacińskiego </t>
  </si>
  <si>
    <t>przedłużenie ul. Jana Pawła II do                                                         al. Kraśnickiej</t>
  </si>
  <si>
    <t>przebudowa ul. Poniatowskiego 
i ul. Sowińskiego (od ul. ks. Popiełuszki do 
ul. Filaretów)</t>
  </si>
  <si>
    <t xml:space="preserve">budowa i modernizacja zatok, chodników, parkingów i kładek dla pieszych </t>
  </si>
  <si>
    <t>dokumentacja techniczna</t>
  </si>
  <si>
    <t>przebudowa Pl. Litewskiego wraz 
z przebudową układu komunikacyjnego</t>
  </si>
  <si>
    <t>ulice Jezuicka-Dominikańska-Gruella</t>
  </si>
  <si>
    <t>Plac Rybny ze schodami do ul. Kowalskiej</t>
  </si>
  <si>
    <t>ul. Kowalska</t>
  </si>
  <si>
    <t>ul. Olejna i Szambelańska</t>
  </si>
  <si>
    <t xml:space="preserve">ścieżka rowerowa wzdłuż rzeki Bystrzycy </t>
  </si>
  <si>
    <t>chodnik pomiędzy ul. Wolską 
a ul. Garbarską wraz z oświetleniem</t>
  </si>
  <si>
    <t>ul. Bursaki (połączenie 
z al. Smorawińskiego)</t>
  </si>
  <si>
    <t>przebudowa ul. Inżynierskiej</t>
  </si>
  <si>
    <t>ul. Wyżynna</t>
  </si>
  <si>
    <t>zakup wiat przystankowych</t>
  </si>
  <si>
    <t>ul. Kozia</t>
  </si>
  <si>
    <t>modernizacje budynków</t>
  </si>
  <si>
    <t>udział w Towarzystwie Budownictwa Społecznego "Nowy Dom" - budownictwo mieszkaniowe</t>
  </si>
  <si>
    <t>budownictwo mieszkaniowe komunalne 
i socjalne</t>
  </si>
  <si>
    <t>udziały w spółce "Lubelski Park Naukowo-Technologiczny" Sp. z o.o.</t>
  </si>
  <si>
    <t xml:space="preserve">modernizacje budynków </t>
  </si>
  <si>
    <t>zakupy inwestycyjne</t>
  </si>
  <si>
    <t>utworzenie Komisariatu IV w dzielnicy LSM</t>
  </si>
  <si>
    <t>zakup samochodu ratowniczo-gaśniczego</t>
  </si>
  <si>
    <t>Szkoła Podstawowa w os. Felin</t>
  </si>
  <si>
    <t>Szkoła Podstawowa Nr 51 w os. Widok</t>
  </si>
  <si>
    <t>Szkoła Podstawowa Nr 39 przy 
ul. Krężnickiej</t>
  </si>
  <si>
    <t>modernizacje szkół</t>
  </si>
  <si>
    <t>rozbudowa Szkoły Podstawowej  
Nr 21 - I etap</t>
  </si>
  <si>
    <t>termomodernizacja obiektów szkolnych</t>
  </si>
  <si>
    <t>Gimnazjum Nr 3</t>
  </si>
  <si>
    <t>budowa gimnazjum przy ul. Roztocze</t>
  </si>
  <si>
    <t>Zespół Szkół Nr 5</t>
  </si>
  <si>
    <t>Zespół Szkół Nr 1</t>
  </si>
  <si>
    <t>modernizacje przychodni rejonowych                         i specjalistycznych</t>
  </si>
  <si>
    <t>budowa boisk</t>
  </si>
  <si>
    <t>modernizacje obiektów</t>
  </si>
  <si>
    <t xml:space="preserve">zakupy inwestycje </t>
  </si>
  <si>
    <t>Przedszkola</t>
  </si>
  <si>
    <t>kolektor sanitarny N-II (III i IV etap)</t>
  </si>
  <si>
    <t>sieć wodociągowa w ul. Mełgiewskiej</t>
  </si>
  <si>
    <t>podłączenie rejonu "Zemborzyc" do sieci miejskiej</t>
  </si>
  <si>
    <t>sieć wodociągowa w ul. Prusa</t>
  </si>
  <si>
    <t>odwodnienie ul. Zbożowej</t>
  </si>
  <si>
    <t xml:space="preserve">kanalizacja sanitarna w obszarze 
os. Nałkowskich II, Zalewu Zemborzyckiego 
i os. Zemborzyce </t>
  </si>
  <si>
    <t>zabezpieczenie przeciwpowodziowe 
w cofce Zbiornika Zemborzyckiego</t>
  </si>
  <si>
    <t>kanalizacja sanitarna dla os. Rudnik i Bursaki</t>
  </si>
  <si>
    <t xml:space="preserve">składowisko odpadów w Rokitnie zad. 1 </t>
  </si>
  <si>
    <t>budowa punktów świetlnych</t>
  </si>
  <si>
    <t>wykup gruntów</t>
  </si>
  <si>
    <t>inwestycje realizowane przy udziale mieszkańców</t>
  </si>
  <si>
    <t>w tym na budowę dróg</t>
  </si>
  <si>
    <t>infrastruktura techniczna dla inwestorów budownictwa wielorodzinnego</t>
  </si>
  <si>
    <t>dokumentacja przyszłościowa</t>
  </si>
  <si>
    <t>odsetki od zaciągniętych pożyczek 
i kredytów</t>
  </si>
  <si>
    <t>budowa muszli koncertowej</t>
  </si>
  <si>
    <t xml:space="preserve">inwestycje  </t>
  </si>
  <si>
    <t>modernizacja budynku</t>
  </si>
  <si>
    <t xml:space="preserve">trasa turystyczna </t>
  </si>
  <si>
    <t>iluminacja bazyliki oo. Dominikanów</t>
  </si>
  <si>
    <t>kamienica Rynek 8</t>
  </si>
  <si>
    <t>kamienica przy ul. Grodzkiej 34</t>
  </si>
  <si>
    <t>boiska osiedlowe</t>
  </si>
  <si>
    <t>budowa wielofunkcyjnej hali sportowo-widowiskowej i lodowiska treningowego przy ul. Kazimierza Wielkiego</t>
  </si>
  <si>
    <t>Zadania w zakresie kultury fizycznej 
i sportu</t>
  </si>
  <si>
    <t>budowa Parków Sportowych SKATE-PARKÓW</t>
  </si>
  <si>
    <t>Wydatki na zadania realizowane na podstawie porozumień i umów</t>
  </si>
  <si>
    <t>zakup specjalistycznego samochodu pożarniczego</t>
  </si>
  <si>
    <t>pomoc finansowa dla gminy Lubartów 
na inwestycje</t>
  </si>
  <si>
    <t>Zespoły do spraw orzekania 
o niepełnosprawności</t>
  </si>
  <si>
    <t>Załącznik Nr 5</t>
  </si>
  <si>
    <t>Remonty</t>
  </si>
  <si>
    <t xml:space="preserve">z dnia </t>
  </si>
  <si>
    <t xml:space="preserve">Nazwa: działu, rozdziału, zadania </t>
  </si>
  <si>
    <t>Plan na 2003 rok 
wg uchwały budżetowej</t>
  </si>
  <si>
    <t>Plan na 2003 rok              po zmianach</t>
  </si>
  <si>
    <t>Wykonanie na          31 grudnia             2003 roku</t>
  </si>
  <si>
    <t>% 
6:5</t>
  </si>
  <si>
    <t>Ogółem remonty</t>
  </si>
  <si>
    <t>Zadania własne</t>
  </si>
  <si>
    <t xml:space="preserve">specjalistyczne prace konserwatorskie w budynkach w obrębie Starego Miasta </t>
  </si>
  <si>
    <t>Remonty budynków komunalnych</t>
  </si>
  <si>
    <t>Roboty instalacyjne</t>
  </si>
  <si>
    <t>remonty instalacji wod.-kan., c.o. i elektrycznej, opomiarowanie</t>
  </si>
  <si>
    <t>remonty instalacji gazowej i kanałów</t>
  </si>
  <si>
    <t>Remonty ogólnobudowlane</t>
  </si>
  <si>
    <t>remonty bieżące, główne</t>
  </si>
  <si>
    <t>remonty pustostanów, dachów, kominów, kanałów, stolarki</t>
  </si>
  <si>
    <t>Przeglądy, awarie i dokumentacja</t>
  </si>
  <si>
    <t>Remonty budynków Wspólnot Mieszkaniowych</t>
  </si>
  <si>
    <t>remonty instalacji wod.-kan., c.w., c.o. i elektrycznej, opomiarowanie</t>
  </si>
  <si>
    <t>remonty instalacji gazowej i kanałów kominowych</t>
  </si>
  <si>
    <t>remonty bieżące</t>
  </si>
  <si>
    <t>remonty pustostanów, dachów, kominów</t>
  </si>
  <si>
    <t>Remonty budynków o własności mieszanej</t>
  </si>
  <si>
    <t>remonty intalacji gazowej i kanałów</t>
  </si>
  <si>
    <t>do zarządzenia Nr 101/2004</t>
  </si>
  <si>
    <t>z dnia 23 marca 2004 r.</t>
  </si>
  <si>
    <t>Załącznik Nr 14
do zarządzenia Nr 101/2004
Prezydenta Miasta Lublin
z dnia 23 marca 2004 r.</t>
  </si>
  <si>
    <t xml:space="preserve">                                           do zarządzenia Nr 101/2004</t>
  </si>
  <si>
    <t xml:space="preserve">                                           Prezydenta Miasta Lublin</t>
  </si>
  <si>
    <t xml:space="preserve">                                           z dnia 23 marca 2004 r.</t>
  </si>
  <si>
    <t xml:space="preserve">                              do zarządzenia Nr 101/2004</t>
  </si>
  <si>
    <t xml:space="preserve">                              Prezydenta Miasta Lublin</t>
  </si>
  <si>
    <t xml:space="preserve">                              z dnia 23 marca 2004 r.</t>
  </si>
  <si>
    <t xml:space="preserve">                              Załącznik Nr 8</t>
  </si>
  <si>
    <t>remonty pustostanów, dachów, kominów, stolarki</t>
  </si>
  <si>
    <t>Remonty budynków o własności prywatnej</t>
  </si>
  <si>
    <t>remonty lokali objętych umową najmu i dzierżawy</t>
  </si>
  <si>
    <t>remonty lokali jednostek pomocniczych miasta</t>
  </si>
  <si>
    <t>remonty obiektów użytkowanych przez Urząd Miasta</t>
  </si>
  <si>
    <t>remonty szkół</t>
  </si>
  <si>
    <t>remonty pomieszczeń</t>
  </si>
  <si>
    <t>remonty placówek opiekuńczo-wychowawczych</t>
  </si>
  <si>
    <t>remonty domów pomocy społecznej</t>
  </si>
  <si>
    <t>remonty obiektów</t>
  </si>
  <si>
    <t xml:space="preserve">   </t>
  </si>
  <si>
    <t xml:space="preserve">remonty obiektów </t>
  </si>
  <si>
    <t>remonty pomieszczeń stołówek szkolnych</t>
  </si>
  <si>
    <t>remonty urządzeń oświetlenia</t>
  </si>
  <si>
    <t>remont filii Dzielnicowego Domu Kultury "Bronowice"
przy ul. Hutniczej</t>
  </si>
  <si>
    <t>remont pomieszczeń</t>
  </si>
  <si>
    <t>remont bazyliki oo. Dominikanów - dofinansowanie</t>
  </si>
  <si>
    <t>remont katedralnej cerkwi pw. Przemienienia Pańskiego 
w Lublinie - dofinansowanie</t>
  </si>
  <si>
    <t>remont domu zakonnego salezjanów 
przy ul. Kalinowszczyzna 3 - dofinansowanie</t>
  </si>
  <si>
    <t>Niecała 5 - dofinansowanie</t>
  </si>
  <si>
    <t>kamienica Grodzka 20</t>
  </si>
  <si>
    <t>bezzwrotna pomoc dla właścicieli budynków zabytkowych</t>
  </si>
  <si>
    <t>Zadania ustawowo zlecone gminie</t>
  </si>
  <si>
    <t>Zadania z zakresu administracji rządowej wykonywane przez powiat</t>
  </si>
  <si>
    <t>remonty</t>
  </si>
  <si>
    <t xml:space="preserve">remonty </t>
  </si>
  <si>
    <t>Załącznik Nr 6</t>
  </si>
  <si>
    <t>Zakłady budżetowe, gospodarstwa pomocnicze i środki specjalne</t>
  </si>
  <si>
    <t>w  złotych</t>
  </si>
  <si>
    <t>Przychody</t>
  </si>
  <si>
    <t>Wydatki</t>
  </si>
  <si>
    <t>Dz.</t>
  </si>
  <si>
    <t>Plan                        na 2003 rok</t>
  </si>
  <si>
    <t>Plan                             na 2003 rok</t>
  </si>
  <si>
    <t>%</t>
  </si>
  <si>
    <t>wg uchwały budżetowej</t>
  </si>
  <si>
    <t>po zmianach</t>
  </si>
  <si>
    <t>w tym:      dotacja</t>
  </si>
  <si>
    <t>6:5</t>
  </si>
  <si>
    <t>w tym: limit wynagrodzeń</t>
  </si>
  <si>
    <t>11:10</t>
  </si>
  <si>
    <t xml:space="preserve">Ogółem "gospodarka 
pozabudżetowa"  </t>
  </si>
  <si>
    <t xml:space="preserve">Zadania własne </t>
  </si>
  <si>
    <t xml:space="preserve">Razem zakłady budżetowe </t>
  </si>
  <si>
    <t>Lubelski Ośrodek Informacji Turystycznej</t>
  </si>
  <si>
    <t>Zarząd Nieruchomości Komunalnych</t>
  </si>
  <si>
    <t>w tym:</t>
  </si>
  <si>
    <t>dotacja przedmiotowa</t>
  </si>
  <si>
    <t>dotacja celowa na inwestycje</t>
  </si>
  <si>
    <t>MOSiR "Bystrzyca"</t>
  </si>
  <si>
    <t>Razem gospodarstwa pomocnicze</t>
  </si>
  <si>
    <t>80197</t>
  </si>
  <si>
    <t>Zespół Szkół Samochodowych Nr 2                                    Warsztaty Szkolne</t>
  </si>
  <si>
    <t>Zespół Szkół Samochodowych 
im. St. Syroczyńskiego 
Warsztaty Szkolne</t>
  </si>
  <si>
    <t>Zespół Szkół  Mechanicznych                                Warsztaty Szkolne</t>
  </si>
  <si>
    <t>Zespół Szkół Energetycznych                                      Warsztaty Szkolne</t>
  </si>
  <si>
    <t>Lubelskie Centrum Edukacji Zawodowej                                      Warsztaty Międzyszkolne</t>
  </si>
  <si>
    <t>Zespół Szkół Nr 3 
Warsztaty Szkolne</t>
  </si>
  <si>
    <t>Zespół Szkół Nr 5 
Warsztaty Szkolne</t>
  </si>
  <si>
    <t>Państwowe Szkoły Budownictwa 
i Geodezji Warsztaty Szkolne</t>
  </si>
  <si>
    <t>Zespół Szkół Elektronicznych                             Warsztaty Szkolne</t>
  </si>
  <si>
    <t>85497</t>
  </si>
  <si>
    <t>Specjalny Ośrodek Szkolno - Wychowawczy Nr 1, Warsztaty Szkolne</t>
  </si>
  <si>
    <t>Razem środki specjalne</t>
  </si>
  <si>
    <t>Centra kształcenia ustawicznego 
i praktycznego oraz ośrodki dokształcania zawodowego</t>
  </si>
  <si>
    <t>Poradnie psychologiczno-pedagogiczne, 
w tym poradnie specjalistyczne</t>
  </si>
  <si>
    <t>Zadania realizowane na podstawie porozumień i umów</t>
  </si>
  <si>
    <t>Zadania zlecone</t>
  </si>
  <si>
    <t>754</t>
  </si>
  <si>
    <t>75411</t>
  </si>
  <si>
    <t>Załącznik Nr 7</t>
  </si>
  <si>
    <t>Rady Miejskiej w Lublinie</t>
  </si>
  <si>
    <t>Instytucje kultury</t>
  </si>
  <si>
    <t>Nazwa instytucji</t>
  </si>
  <si>
    <t>Stan środków na początek roku</t>
  </si>
  <si>
    <t>Przychody własne</t>
  </si>
  <si>
    <t xml:space="preserve">Dotacja z budżetu 
na 2003 rok 
wg uchwały budżetowej                      </t>
  </si>
  <si>
    <t>Dotacja z budżetu
 na 2003 rok
 po zmianach</t>
  </si>
  <si>
    <t>Wykonanie
 na 31 grudnia 
2003 roku</t>
  </si>
  <si>
    <t>Ogółem instytucje kultury</t>
  </si>
  <si>
    <t>Teatr im. H. Ch. Andersena</t>
  </si>
  <si>
    <t>Dzielnicowy Dom Kultury "Bronowice"</t>
  </si>
  <si>
    <t>Zespół Pieśni i Tańca "Lublin" im. W. Kaniorowej</t>
  </si>
  <si>
    <t>Ośrodek "Brama Grodzka - Teatr NN"</t>
  </si>
  <si>
    <t>Biuro Wystaw Artystycznych</t>
  </si>
  <si>
    <t>Centrum Kultury</t>
  </si>
  <si>
    <t xml:space="preserve">Miejska Biblioteka Publiczna </t>
  </si>
  <si>
    <t xml:space="preserve">Wykaz zadań własnych miasta realizowanych przez podmioty niezaliczone do sektora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</si>
</sst>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_ ;\-#,##0\ "/>
    <numFmt numFmtId="167" formatCode="#,##0;[Red]#,##0"/>
    <numFmt numFmtId="168" formatCode="###0"/>
    <numFmt numFmtId="169" formatCode="0.0"/>
    <numFmt numFmtId="170" formatCode="0.000%"/>
    <numFmt numFmtId="171" formatCode="00\-000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h:m"/>
    <numFmt numFmtId="177" formatCode="\ h\ h:m"/>
  </numFmts>
  <fonts count="24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i/>
      <sz val="11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sz val="14"/>
      <name val="Arial CE"/>
      <family val="2"/>
    </font>
    <font>
      <b/>
      <sz val="15"/>
      <name val="Arial CE"/>
      <family val="2"/>
    </font>
    <font>
      <b/>
      <sz val="13"/>
      <name val="Arial CE"/>
      <family val="2"/>
    </font>
    <font>
      <b/>
      <sz val="9"/>
      <name val="Arial CE"/>
      <family val="2"/>
    </font>
    <font>
      <sz val="10"/>
      <color indexed="8"/>
      <name val="Arial CE"/>
      <family val="2"/>
    </font>
    <font>
      <sz val="13"/>
      <name val="Arial"/>
      <family val="2"/>
    </font>
    <font>
      <sz val="13"/>
      <name val="Arial CE"/>
      <family val="0"/>
    </font>
    <font>
      <i/>
      <sz val="9"/>
      <name val="Arial CE"/>
      <family val="2"/>
    </font>
    <font>
      <b/>
      <u val="single"/>
      <sz val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1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ash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hair"/>
      <bottom style="dott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tted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hair"/>
      <bottom style="dotted"/>
    </border>
    <border>
      <left style="medium"/>
      <right style="thin"/>
      <top style="hair"/>
      <bottom style="dotted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Alignment="0"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81">
    <xf numFmtId="0" fontId="0" fillId="0" borderId="0" xfId="0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10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1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/>
    </xf>
    <xf numFmtId="10" fontId="1" fillId="0" borderId="0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2" borderId="9" xfId="0" applyFont="1" applyFill="1" applyBorder="1" applyAlignment="1">
      <alignment horizontal="right"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 horizontal="right"/>
    </xf>
    <xf numFmtId="10" fontId="7" fillId="2" borderId="11" xfId="0" applyNumberFormat="1" applyFont="1" applyFill="1" applyBorder="1" applyAlignment="1">
      <alignment horizontal="right"/>
    </xf>
    <xf numFmtId="3" fontId="7" fillId="2" borderId="12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3" fontId="0" fillId="2" borderId="14" xfId="0" applyNumberFormat="1" applyFont="1" applyFill="1" applyBorder="1" applyAlignment="1">
      <alignment horizontal="right"/>
    </xf>
    <xf numFmtId="10" fontId="0" fillId="2" borderId="14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3" fontId="8" fillId="2" borderId="16" xfId="0" applyNumberFormat="1" applyFont="1" applyFill="1" applyBorder="1" applyAlignment="1">
      <alignment/>
    </xf>
    <xf numFmtId="3" fontId="8" fillId="2" borderId="15" xfId="0" applyNumberFormat="1" applyFont="1" applyFill="1" applyBorder="1" applyAlignment="1">
      <alignment/>
    </xf>
    <xf numFmtId="10" fontId="8" fillId="2" borderId="16" xfId="0" applyNumberFormat="1" applyFont="1" applyFill="1" applyBorder="1" applyAlignment="1">
      <alignment/>
    </xf>
    <xf numFmtId="3" fontId="8" fillId="2" borderId="17" xfId="0" applyNumberFormat="1" applyFont="1" applyFill="1" applyBorder="1" applyAlignment="1">
      <alignment horizontal="right"/>
    </xf>
    <xf numFmtId="0" fontId="0" fillId="2" borderId="18" xfId="0" applyFont="1" applyFill="1" applyBorder="1" applyAlignment="1">
      <alignment horizontal="right"/>
    </xf>
    <xf numFmtId="0" fontId="0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3" fontId="7" fillId="2" borderId="20" xfId="0" applyNumberFormat="1" applyFont="1" applyFill="1" applyBorder="1" applyAlignment="1">
      <alignment horizontal="right"/>
    </xf>
    <xf numFmtId="3" fontId="7" fillId="2" borderId="19" xfId="0" applyNumberFormat="1" applyFont="1" applyFill="1" applyBorder="1" applyAlignment="1">
      <alignment horizontal="right"/>
    </xf>
    <xf numFmtId="10" fontId="7" fillId="2" borderId="19" xfId="0" applyNumberFormat="1" applyFont="1" applyFill="1" applyBorder="1" applyAlignment="1">
      <alignment horizontal="right"/>
    </xf>
    <xf numFmtId="3" fontId="7" fillId="2" borderId="21" xfId="0" applyNumberFormat="1" applyFont="1" applyFill="1" applyBorder="1" applyAlignment="1">
      <alignment horizontal="right"/>
    </xf>
    <xf numFmtId="0" fontId="7" fillId="3" borderId="18" xfId="0" applyFont="1" applyFill="1" applyBorder="1" applyAlignment="1" quotePrefix="1">
      <alignment horizontal="right"/>
    </xf>
    <xf numFmtId="0" fontId="7" fillId="3" borderId="18" xfId="0" applyFont="1" applyFill="1" applyBorder="1" applyAlignment="1">
      <alignment/>
    </xf>
    <xf numFmtId="0" fontId="7" fillId="3" borderId="18" xfId="0" applyFont="1" applyFill="1" applyBorder="1" applyAlignment="1">
      <alignment wrapText="1"/>
    </xf>
    <xf numFmtId="3" fontId="7" fillId="3" borderId="22" xfId="0" applyNumberFormat="1" applyFont="1" applyFill="1" applyBorder="1" applyAlignment="1">
      <alignment horizontal="right" wrapText="1"/>
    </xf>
    <xf numFmtId="3" fontId="7" fillId="3" borderId="18" xfId="0" applyNumberFormat="1" applyFont="1" applyFill="1" applyBorder="1" applyAlignment="1">
      <alignment horizontal="right" wrapText="1"/>
    </xf>
    <xf numFmtId="10" fontId="7" fillId="3" borderId="22" xfId="0" applyNumberFormat="1" applyFont="1" applyFill="1" applyBorder="1" applyAlignment="1">
      <alignment horizontal="right" wrapText="1"/>
    </xf>
    <xf numFmtId="10" fontId="7" fillId="3" borderId="23" xfId="0" applyNumberFormat="1" applyFont="1" applyFill="1" applyBorder="1" applyAlignment="1">
      <alignment horizontal="right" wrapText="1"/>
    </xf>
    <xf numFmtId="0" fontId="7" fillId="2" borderId="24" xfId="0" applyFont="1" applyFill="1" applyBorder="1" applyAlignment="1">
      <alignment horizontal="right"/>
    </xf>
    <xf numFmtId="0" fontId="7" fillId="2" borderId="18" xfId="0" applyFont="1" applyFill="1" applyBorder="1" applyAlignment="1" quotePrefix="1">
      <alignment horizontal="right"/>
    </xf>
    <xf numFmtId="0" fontId="7" fillId="2" borderId="18" xfId="0" applyFont="1" applyFill="1" applyBorder="1" applyAlignment="1">
      <alignment/>
    </xf>
    <xf numFmtId="3" fontId="7" fillId="2" borderId="22" xfId="0" applyNumberFormat="1" applyFont="1" applyFill="1" applyBorder="1" applyAlignment="1">
      <alignment horizontal="right"/>
    </xf>
    <xf numFmtId="10" fontId="7" fillId="2" borderId="22" xfId="0" applyNumberFormat="1" applyFont="1" applyFill="1" applyBorder="1" applyAlignment="1">
      <alignment horizontal="right"/>
    </xf>
    <xf numFmtId="10" fontId="7" fillId="2" borderId="23" xfId="0" applyNumberFormat="1" applyFont="1" applyFill="1" applyBorder="1" applyAlignment="1">
      <alignment horizontal="right"/>
    </xf>
    <xf numFmtId="0" fontId="0" fillId="2" borderId="25" xfId="0" applyFont="1" applyFill="1" applyBorder="1" applyAlignment="1" quotePrefix="1">
      <alignment horizontal="right"/>
    </xf>
    <xf numFmtId="0" fontId="0" fillId="2" borderId="25" xfId="0" applyFont="1" applyFill="1" applyBorder="1" applyAlignment="1">
      <alignment wrapText="1"/>
    </xf>
    <xf numFmtId="3" fontId="0" fillId="2" borderId="26" xfId="0" applyNumberFormat="1" applyFont="1" applyFill="1" applyBorder="1" applyAlignment="1">
      <alignment horizontal="right" wrapText="1"/>
    </xf>
    <xf numFmtId="10" fontId="0" fillId="2" borderId="26" xfId="0" applyNumberFormat="1" applyFont="1" applyFill="1" applyBorder="1" applyAlignment="1">
      <alignment horizontal="right" wrapText="1"/>
    </xf>
    <xf numFmtId="10" fontId="0" fillId="2" borderId="27" xfId="0" applyNumberFormat="1" applyFont="1" applyFill="1" applyBorder="1" applyAlignment="1">
      <alignment horizontal="right" wrapText="1"/>
    </xf>
    <xf numFmtId="0" fontId="7" fillId="3" borderId="18" xfId="0" applyFont="1" applyFill="1" applyBorder="1" applyAlignment="1">
      <alignment horizontal="right" wrapText="1"/>
    </xf>
    <xf numFmtId="0" fontId="7" fillId="3" borderId="18" xfId="0" applyFont="1" applyFill="1" applyBorder="1" applyAlignment="1">
      <alignment horizontal="left" wrapText="1"/>
    </xf>
    <xf numFmtId="10" fontId="7" fillId="3" borderId="18" xfId="0" applyNumberFormat="1" applyFont="1" applyFill="1" applyBorder="1" applyAlignment="1">
      <alignment horizontal="right" wrapText="1"/>
    </xf>
    <xf numFmtId="0" fontId="7" fillId="2" borderId="13" xfId="0" applyFont="1" applyFill="1" applyBorder="1" applyAlignment="1">
      <alignment horizontal="right" wrapText="1"/>
    </xf>
    <xf numFmtId="0" fontId="7" fillId="2" borderId="18" xfId="0" applyFont="1" applyFill="1" applyBorder="1" applyAlignment="1">
      <alignment wrapText="1"/>
    </xf>
    <xf numFmtId="0" fontId="7" fillId="2" borderId="18" xfId="0" applyFont="1" applyFill="1" applyBorder="1" applyAlignment="1">
      <alignment horizontal="left" wrapText="1"/>
    </xf>
    <xf numFmtId="3" fontId="7" fillId="2" borderId="22" xfId="0" applyNumberFormat="1" applyFont="1" applyFill="1" applyBorder="1" applyAlignment="1">
      <alignment horizontal="right" wrapText="1"/>
    </xf>
    <xf numFmtId="3" fontId="7" fillId="2" borderId="18" xfId="0" applyNumberFormat="1" applyFont="1" applyFill="1" applyBorder="1" applyAlignment="1">
      <alignment horizontal="right" wrapText="1"/>
    </xf>
    <xf numFmtId="10" fontId="7" fillId="2" borderId="18" xfId="0" applyNumberFormat="1" applyFont="1" applyFill="1" applyBorder="1" applyAlignment="1">
      <alignment horizontal="right" wrapText="1"/>
    </xf>
    <xf numFmtId="10" fontId="7" fillId="2" borderId="23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/>
    </xf>
    <xf numFmtId="0" fontId="0" fillId="2" borderId="18" xfId="0" applyFont="1" applyFill="1" applyBorder="1" applyAlignment="1">
      <alignment horizontal="left" wrapText="1"/>
    </xf>
    <xf numFmtId="3" fontId="0" fillId="2" borderId="22" xfId="0" applyNumberFormat="1" applyFont="1" applyFill="1" applyBorder="1" applyAlignment="1">
      <alignment horizontal="right" wrapText="1"/>
    </xf>
    <xf numFmtId="10" fontId="0" fillId="2" borderId="22" xfId="0" applyNumberFormat="1" applyFont="1" applyFill="1" applyBorder="1" applyAlignment="1">
      <alignment horizontal="right" wrapText="1"/>
    </xf>
    <xf numFmtId="0" fontId="7" fillId="2" borderId="13" xfId="0" applyFont="1" applyFill="1" applyBorder="1" applyAlignment="1">
      <alignment horizontal="right"/>
    </xf>
    <xf numFmtId="0" fontId="7" fillId="2" borderId="25" xfId="0" applyFont="1" applyFill="1" applyBorder="1" applyAlignment="1">
      <alignment wrapText="1"/>
    </xf>
    <xf numFmtId="10" fontId="7" fillId="2" borderId="27" xfId="0" applyNumberFormat="1" applyFont="1" applyFill="1" applyBorder="1" applyAlignment="1">
      <alignment horizontal="right" wrapText="1"/>
    </xf>
    <xf numFmtId="0" fontId="0" fillId="2" borderId="24" xfId="0" applyFont="1" applyFill="1" applyBorder="1" applyAlignment="1" quotePrefix="1">
      <alignment horizontal="right"/>
    </xf>
    <xf numFmtId="0" fontId="0" fillId="2" borderId="28" xfId="0" applyFont="1" applyFill="1" applyBorder="1" applyAlignment="1">
      <alignment wrapText="1"/>
    </xf>
    <xf numFmtId="3" fontId="0" fillId="2" borderId="29" xfId="0" applyNumberFormat="1" applyFont="1" applyFill="1" applyBorder="1" applyAlignment="1">
      <alignment horizontal="right"/>
    </xf>
    <xf numFmtId="10" fontId="0" fillId="2" borderId="29" xfId="0" applyNumberFormat="1" applyFont="1" applyFill="1" applyBorder="1" applyAlignment="1">
      <alignment horizontal="right"/>
    </xf>
    <xf numFmtId="10" fontId="7" fillId="2" borderId="30" xfId="0" applyNumberFormat="1" applyFont="1" applyFill="1" applyBorder="1" applyAlignment="1">
      <alignment horizontal="right" wrapText="1"/>
    </xf>
    <xf numFmtId="0" fontId="0" fillId="2" borderId="13" xfId="0" applyFont="1" applyFill="1" applyBorder="1" applyAlignment="1" quotePrefix="1">
      <alignment horizontal="right"/>
    </xf>
    <xf numFmtId="0" fontId="0" fillId="2" borderId="31" xfId="0" applyFont="1" applyFill="1" applyBorder="1" applyAlignment="1">
      <alignment/>
    </xf>
    <xf numFmtId="3" fontId="0" fillId="2" borderId="32" xfId="0" applyNumberFormat="1" applyFont="1" applyFill="1" applyBorder="1" applyAlignment="1">
      <alignment horizontal="right" wrapText="1"/>
    </xf>
    <xf numFmtId="10" fontId="0" fillId="2" borderId="32" xfId="0" applyNumberFormat="1" applyFont="1" applyFill="1" applyBorder="1" applyAlignment="1">
      <alignment horizontal="right" wrapText="1"/>
    </xf>
    <xf numFmtId="10" fontId="7" fillId="2" borderId="33" xfId="0" applyNumberFormat="1" applyFont="1" applyFill="1" applyBorder="1" applyAlignment="1">
      <alignment horizontal="right" wrapText="1"/>
    </xf>
    <xf numFmtId="10" fontId="7" fillId="2" borderId="34" xfId="0" applyNumberFormat="1" applyFont="1" applyFill="1" applyBorder="1" applyAlignment="1">
      <alignment horizontal="right" wrapText="1"/>
    </xf>
    <xf numFmtId="0" fontId="0" fillId="2" borderId="31" xfId="0" applyFont="1" applyFill="1" applyBorder="1" applyAlignment="1">
      <alignment horizontal="left" wrapText="1"/>
    </xf>
    <xf numFmtId="10" fontId="0" fillId="2" borderId="35" xfId="0" applyNumberFormat="1" applyFont="1" applyFill="1" applyBorder="1" applyAlignment="1">
      <alignment horizontal="right" wrapText="1"/>
    </xf>
    <xf numFmtId="0" fontId="0" fillId="2" borderId="13" xfId="0" applyFont="1" applyFill="1" applyBorder="1" applyAlignment="1">
      <alignment horizontal="right" wrapText="1"/>
    </xf>
    <xf numFmtId="0" fontId="0" fillId="2" borderId="31" xfId="0" applyFont="1" applyFill="1" applyBorder="1" applyAlignment="1">
      <alignment horizontal="left"/>
    </xf>
    <xf numFmtId="3" fontId="0" fillId="4" borderId="32" xfId="0" applyNumberFormat="1" applyFont="1" applyFill="1" applyBorder="1" applyAlignment="1">
      <alignment horizontal="right"/>
    </xf>
    <xf numFmtId="10" fontId="0" fillId="4" borderId="32" xfId="0" applyNumberFormat="1" applyFont="1" applyFill="1" applyBorder="1" applyAlignment="1">
      <alignment horizontal="right"/>
    </xf>
    <xf numFmtId="3" fontId="4" fillId="3" borderId="23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/>
    </xf>
    <xf numFmtId="0" fontId="0" fillId="2" borderId="1" xfId="0" applyFont="1" applyFill="1" applyBorder="1" applyAlignment="1" quotePrefix="1">
      <alignment horizontal="right"/>
    </xf>
    <xf numFmtId="3" fontId="0" fillId="2" borderId="0" xfId="0" applyNumberFormat="1" applyFont="1" applyFill="1" applyBorder="1" applyAlignment="1">
      <alignment horizontal="right" wrapText="1"/>
    </xf>
    <xf numFmtId="10" fontId="0" fillId="2" borderId="0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 wrapText="1"/>
    </xf>
    <xf numFmtId="0" fontId="0" fillId="2" borderId="36" xfId="0" applyFont="1" applyFill="1" applyBorder="1" applyAlignment="1">
      <alignment horizontal="left" wrapText="1"/>
    </xf>
    <xf numFmtId="3" fontId="0" fillId="2" borderId="37" xfId="0" applyNumberFormat="1" applyFont="1" applyFill="1" applyBorder="1" applyAlignment="1">
      <alignment horizontal="right" wrapText="1"/>
    </xf>
    <xf numFmtId="10" fontId="0" fillId="2" borderId="37" xfId="0" applyNumberFormat="1" applyFont="1" applyFill="1" applyBorder="1" applyAlignment="1">
      <alignment horizontal="right" wrapText="1"/>
    </xf>
    <xf numFmtId="3" fontId="9" fillId="2" borderId="38" xfId="0" applyNumberFormat="1" applyFont="1" applyFill="1" applyBorder="1" applyAlignment="1">
      <alignment horizontal="right" wrapText="1"/>
    </xf>
    <xf numFmtId="0" fontId="0" fillId="2" borderId="36" xfId="0" applyFont="1" applyFill="1" applyBorder="1" applyAlignment="1">
      <alignment wrapText="1"/>
    </xf>
    <xf numFmtId="3" fontId="0" fillId="2" borderId="37" xfId="0" applyNumberFormat="1" applyFont="1" applyFill="1" applyBorder="1" applyAlignment="1">
      <alignment horizontal="right"/>
    </xf>
    <xf numFmtId="10" fontId="0" fillId="2" borderId="37" xfId="0" applyNumberFormat="1" applyFont="1" applyFill="1" applyBorder="1" applyAlignment="1">
      <alignment horizontal="right"/>
    </xf>
    <xf numFmtId="10" fontId="0" fillId="2" borderId="34" xfId="0" applyNumberFormat="1" applyFont="1" applyFill="1" applyBorder="1" applyAlignment="1">
      <alignment horizontal="right"/>
    </xf>
    <xf numFmtId="0" fontId="0" fillId="2" borderId="18" xfId="0" applyFont="1" applyFill="1" applyBorder="1" applyAlignment="1" quotePrefix="1">
      <alignment horizontal="right"/>
    </xf>
    <xf numFmtId="0" fontId="0" fillId="2" borderId="39" xfId="0" applyFont="1" applyFill="1" applyBorder="1" applyAlignment="1">
      <alignment horizontal="left" wrapText="1"/>
    </xf>
    <xf numFmtId="3" fontId="0" fillId="2" borderId="40" xfId="0" applyNumberFormat="1" applyFont="1" applyFill="1" applyBorder="1" applyAlignment="1">
      <alignment horizontal="right" wrapText="1"/>
    </xf>
    <xf numFmtId="10" fontId="0" fillId="2" borderId="40" xfId="0" applyNumberFormat="1" applyFont="1" applyFill="1" applyBorder="1" applyAlignment="1">
      <alignment horizontal="right" wrapText="1"/>
    </xf>
    <xf numFmtId="10" fontId="0" fillId="2" borderId="23" xfId="0" applyNumberFormat="1" applyFont="1" applyFill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41" xfId="0" applyFont="1" applyBorder="1" applyAlignment="1">
      <alignment/>
    </xf>
    <xf numFmtId="0" fontId="0" fillId="2" borderId="13" xfId="0" applyFont="1" applyFill="1" applyBorder="1" applyAlignment="1">
      <alignment horizontal="left" wrapText="1"/>
    </xf>
    <xf numFmtId="3" fontId="0" fillId="2" borderId="14" xfId="0" applyNumberFormat="1" applyFont="1" applyFill="1" applyBorder="1" applyAlignment="1">
      <alignment horizontal="right" wrapText="1"/>
    </xf>
    <xf numFmtId="10" fontId="0" fillId="2" borderId="14" xfId="0" applyNumberFormat="1" applyFont="1" applyFill="1" applyBorder="1" applyAlignment="1">
      <alignment horizontal="right" wrapText="1"/>
    </xf>
    <xf numFmtId="10" fontId="0" fillId="2" borderId="1" xfId="0" applyNumberFormat="1" applyFont="1" applyFill="1" applyBorder="1" applyAlignment="1">
      <alignment horizontal="right"/>
    </xf>
    <xf numFmtId="0" fontId="7" fillId="3" borderId="25" xfId="0" applyFont="1" applyFill="1" applyBorder="1" applyAlignment="1">
      <alignment horizontal="right"/>
    </xf>
    <xf numFmtId="0" fontId="7" fillId="3" borderId="25" xfId="0" applyFont="1" applyFill="1" applyBorder="1" applyAlignment="1" quotePrefix="1">
      <alignment horizontal="right"/>
    </xf>
    <xf numFmtId="0" fontId="7" fillId="3" borderId="25" xfId="0" applyFont="1" applyFill="1" applyBorder="1" applyAlignment="1">
      <alignment horizontal="left" wrapText="1"/>
    </xf>
    <xf numFmtId="3" fontId="7" fillId="3" borderId="26" xfId="0" applyNumberFormat="1" applyFont="1" applyFill="1" applyBorder="1" applyAlignment="1">
      <alignment horizontal="right" wrapText="1"/>
    </xf>
    <xf numFmtId="3" fontId="7" fillId="3" borderId="25" xfId="0" applyNumberFormat="1" applyFont="1" applyFill="1" applyBorder="1" applyAlignment="1">
      <alignment horizontal="right" wrapText="1"/>
    </xf>
    <xf numFmtId="10" fontId="7" fillId="3" borderId="26" xfId="0" applyNumberFormat="1" applyFont="1" applyFill="1" applyBorder="1" applyAlignment="1">
      <alignment horizontal="right" wrapText="1"/>
    </xf>
    <xf numFmtId="10" fontId="7" fillId="3" borderId="27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0" fontId="7" fillId="2" borderId="22" xfId="0" applyNumberFormat="1" applyFont="1" applyFill="1" applyBorder="1" applyAlignment="1">
      <alignment horizontal="right" wrapText="1"/>
    </xf>
    <xf numFmtId="10" fontId="7" fillId="2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0" fillId="2" borderId="28" xfId="0" applyFont="1" applyFill="1" applyBorder="1" applyAlignment="1">
      <alignment horizontal="left" wrapText="1"/>
    </xf>
    <xf numFmtId="3" fontId="0" fillId="2" borderId="29" xfId="0" applyNumberFormat="1" applyFont="1" applyFill="1" applyBorder="1" applyAlignment="1">
      <alignment horizontal="right" wrapText="1"/>
    </xf>
    <xf numFmtId="10" fontId="0" fillId="2" borderId="29" xfId="0" applyNumberFormat="1" applyFont="1" applyFill="1" applyBorder="1" applyAlignment="1">
      <alignment horizontal="right" wrapText="1"/>
    </xf>
    <xf numFmtId="0" fontId="7" fillId="3" borderId="25" xfId="0" applyFont="1" applyFill="1" applyBorder="1" applyAlignment="1">
      <alignment/>
    </xf>
    <xf numFmtId="10" fontId="7" fillId="3" borderId="25" xfId="0" applyNumberFormat="1" applyFont="1" applyFill="1" applyBorder="1" applyAlignment="1">
      <alignment horizontal="right" wrapText="1"/>
    </xf>
    <xf numFmtId="10" fontId="0" fillId="2" borderId="34" xfId="0" applyNumberFormat="1" applyFont="1" applyFill="1" applyBorder="1" applyAlignment="1">
      <alignment horizontal="right" wrapText="1"/>
    </xf>
    <xf numFmtId="0" fontId="0" fillId="2" borderId="31" xfId="0" applyFont="1" applyFill="1" applyBorder="1" applyAlignment="1">
      <alignment wrapText="1"/>
    </xf>
    <xf numFmtId="3" fontId="0" fillId="2" borderId="37" xfId="0" applyNumberFormat="1" applyFont="1" applyFill="1" applyBorder="1" applyAlignment="1">
      <alignment wrapText="1"/>
    </xf>
    <xf numFmtId="10" fontId="0" fillId="2" borderId="37" xfId="0" applyNumberFormat="1" applyFont="1" applyFill="1" applyBorder="1" applyAlignment="1">
      <alignment wrapText="1"/>
    </xf>
    <xf numFmtId="3" fontId="0" fillId="2" borderId="32" xfId="0" applyNumberFormat="1" applyFont="1" applyFill="1" applyBorder="1" applyAlignment="1">
      <alignment wrapText="1"/>
    </xf>
    <xf numFmtId="10" fontId="0" fillId="2" borderId="32" xfId="0" applyNumberFormat="1" applyFont="1" applyFill="1" applyBorder="1" applyAlignment="1">
      <alignment wrapText="1"/>
    </xf>
    <xf numFmtId="0" fontId="0" fillId="2" borderId="42" xfId="0" applyFont="1" applyFill="1" applyBorder="1" applyAlignment="1">
      <alignment wrapText="1"/>
    </xf>
    <xf numFmtId="3" fontId="0" fillId="2" borderId="43" xfId="0" applyNumberFormat="1" applyFont="1" applyFill="1" applyBorder="1" applyAlignment="1">
      <alignment wrapText="1"/>
    </xf>
    <xf numFmtId="3" fontId="0" fillId="2" borderId="14" xfId="0" applyNumberFormat="1" applyFont="1" applyFill="1" applyBorder="1" applyAlignment="1">
      <alignment wrapText="1"/>
    </xf>
    <xf numFmtId="10" fontId="0" fillId="2" borderId="14" xfId="0" applyNumberFormat="1" applyFont="1" applyFill="1" applyBorder="1" applyAlignment="1">
      <alignment wrapText="1"/>
    </xf>
    <xf numFmtId="10" fontId="0" fillId="2" borderId="1" xfId="0" applyNumberFormat="1" applyFont="1" applyFill="1" applyBorder="1" applyAlignment="1">
      <alignment horizontal="right" wrapText="1"/>
    </xf>
    <xf numFmtId="0" fontId="0" fillId="2" borderId="39" xfId="0" applyFont="1" applyFill="1" applyBorder="1" applyAlignment="1">
      <alignment wrapText="1"/>
    </xf>
    <xf numFmtId="3" fontId="0" fillId="2" borderId="40" xfId="0" applyNumberFormat="1" applyFont="1" applyFill="1" applyBorder="1" applyAlignment="1">
      <alignment wrapText="1"/>
    </xf>
    <xf numFmtId="10" fontId="0" fillId="2" borderId="40" xfId="0" applyNumberFormat="1" applyFont="1" applyFill="1" applyBorder="1" applyAlignment="1">
      <alignment wrapText="1"/>
    </xf>
    <xf numFmtId="0" fontId="7" fillId="2" borderId="25" xfId="0" applyFont="1" applyFill="1" applyBorder="1" applyAlignment="1" quotePrefix="1">
      <alignment horizontal="right"/>
    </xf>
    <xf numFmtId="3" fontId="7" fillId="2" borderId="22" xfId="0" applyNumberFormat="1" applyFont="1" applyFill="1" applyBorder="1" applyAlignment="1">
      <alignment wrapText="1"/>
    </xf>
    <xf numFmtId="10" fontId="7" fillId="2" borderId="22" xfId="0" applyNumberFormat="1" applyFont="1" applyFill="1" applyBorder="1" applyAlignment="1">
      <alignment wrapText="1"/>
    </xf>
    <xf numFmtId="10" fontId="7" fillId="2" borderId="1" xfId="0" applyNumberFormat="1" applyFont="1" applyFill="1" applyBorder="1" applyAlignment="1">
      <alignment horizontal="right" wrapText="1"/>
    </xf>
    <xf numFmtId="0" fontId="0" fillId="2" borderId="18" xfId="0" applyFont="1" applyFill="1" applyBorder="1" applyAlignment="1">
      <alignment wrapText="1"/>
    </xf>
    <xf numFmtId="3" fontId="0" fillId="2" borderId="22" xfId="0" applyNumberFormat="1" applyFont="1" applyFill="1" applyBorder="1" applyAlignment="1">
      <alignment wrapText="1"/>
    </xf>
    <xf numFmtId="10" fontId="0" fillId="2" borderId="22" xfId="0" applyNumberFormat="1" applyFont="1" applyFill="1" applyBorder="1" applyAlignment="1">
      <alignment wrapText="1"/>
    </xf>
    <xf numFmtId="0" fontId="7" fillId="3" borderId="25" xfId="0" applyFont="1" applyFill="1" applyBorder="1" applyAlignment="1">
      <alignment wrapText="1"/>
    </xf>
    <xf numFmtId="0" fontId="7" fillId="3" borderId="18" xfId="0" applyFont="1" applyFill="1" applyBorder="1" applyAlignment="1">
      <alignment horizontal="right"/>
    </xf>
    <xf numFmtId="0" fontId="7" fillId="2" borderId="25" xfId="0" applyFont="1" applyFill="1" applyBorder="1" applyAlignment="1">
      <alignment/>
    </xf>
    <xf numFmtId="3" fontId="7" fillId="2" borderId="26" xfId="0" applyNumberFormat="1" applyFont="1" applyFill="1" applyBorder="1" applyAlignment="1">
      <alignment horizontal="right" wrapText="1"/>
    </xf>
    <xf numFmtId="3" fontId="7" fillId="2" borderId="25" xfId="0" applyNumberFormat="1" applyFont="1" applyFill="1" applyBorder="1" applyAlignment="1">
      <alignment horizontal="right" wrapText="1"/>
    </xf>
    <xf numFmtId="10" fontId="7" fillId="2" borderId="25" xfId="0" applyNumberFormat="1" applyFont="1" applyFill="1" applyBorder="1" applyAlignment="1">
      <alignment horizontal="right" wrapText="1"/>
    </xf>
    <xf numFmtId="10" fontId="7" fillId="2" borderId="27" xfId="0" applyNumberFormat="1" applyFont="1" applyFill="1" applyBorder="1" applyAlignment="1">
      <alignment horizontal="right"/>
    </xf>
    <xf numFmtId="10" fontId="0" fillId="2" borderId="44" xfId="0" applyNumberFormat="1" applyFont="1" applyFill="1" applyBorder="1" applyAlignment="1">
      <alignment horizontal="right"/>
    </xf>
    <xf numFmtId="3" fontId="0" fillId="2" borderId="22" xfId="0" applyNumberFormat="1" applyFont="1" applyFill="1" applyBorder="1" applyAlignment="1">
      <alignment horizontal="right"/>
    </xf>
    <xf numFmtId="10" fontId="0" fillId="2" borderId="22" xfId="0" applyNumberFormat="1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10" fontId="0" fillId="2" borderId="45" xfId="0" applyNumberFormat="1" applyFont="1" applyFill="1" applyBorder="1" applyAlignment="1">
      <alignment horizontal="right" wrapText="1"/>
    </xf>
    <xf numFmtId="0" fontId="0" fillId="2" borderId="36" xfId="0" applyFont="1" applyFill="1" applyBorder="1" applyAlignment="1">
      <alignment/>
    </xf>
    <xf numFmtId="0" fontId="0" fillId="2" borderId="39" xfId="0" applyFont="1" applyFill="1" applyBorder="1" applyAlignment="1">
      <alignment/>
    </xf>
    <xf numFmtId="3" fontId="7" fillId="2" borderId="18" xfId="0" applyNumberFormat="1" applyFont="1" applyFill="1" applyBorder="1" applyAlignment="1">
      <alignment horizontal="right"/>
    </xf>
    <xf numFmtId="10" fontId="7" fillId="2" borderId="14" xfId="0" applyNumberFormat="1" applyFont="1" applyFill="1" applyBorder="1" applyAlignment="1">
      <alignment horizontal="right"/>
    </xf>
    <xf numFmtId="0" fontId="0" fillId="2" borderId="28" xfId="0" applyFont="1" applyFill="1" applyBorder="1" applyAlignment="1">
      <alignment/>
    </xf>
    <xf numFmtId="3" fontId="0" fillId="2" borderId="28" xfId="0" applyNumberFormat="1" applyFont="1" applyFill="1" applyBorder="1" applyAlignment="1">
      <alignment horizontal="right"/>
    </xf>
    <xf numFmtId="10" fontId="0" fillId="2" borderId="28" xfId="0" applyNumberFormat="1" applyFont="1" applyFill="1" applyBorder="1" applyAlignment="1">
      <alignment horizontal="right"/>
    </xf>
    <xf numFmtId="10" fontId="0" fillId="2" borderId="30" xfId="0" applyNumberFormat="1" applyFont="1" applyFill="1" applyBorder="1" applyAlignment="1">
      <alignment horizontal="right"/>
    </xf>
    <xf numFmtId="3" fontId="0" fillId="2" borderId="32" xfId="0" applyNumberFormat="1" applyFont="1" applyFill="1" applyBorder="1" applyAlignment="1">
      <alignment horizontal="right"/>
    </xf>
    <xf numFmtId="3" fontId="0" fillId="2" borderId="31" xfId="0" applyNumberFormat="1" applyFont="1" applyFill="1" applyBorder="1" applyAlignment="1">
      <alignment horizontal="right"/>
    </xf>
    <xf numFmtId="10" fontId="0" fillId="2" borderId="31" xfId="0" applyNumberFormat="1" applyFont="1" applyFill="1" applyBorder="1" applyAlignment="1">
      <alignment horizontal="right"/>
    </xf>
    <xf numFmtId="10" fontId="0" fillId="2" borderId="35" xfId="0" applyNumberFormat="1" applyFont="1" applyFill="1" applyBorder="1" applyAlignment="1">
      <alignment horizontal="right"/>
    </xf>
    <xf numFmtId="3" fontId="0" fillId="2" borderId="31" xfId="0" applyNumberFormat="1" applyFont="1" applyFill="1" applyBorder="1" applyAlignment="1">
      <alignment horizontal="left"/>
    </xf>
    <xf numFmtId="3" fontId="0" fillId="2" borderId="36" xfId="0" applyNumberFormat="1" applyFont="1" applyFill="1" applyBorder="1" applyAlignment="1">
      <alignment horizontal="right"/>
    </xf>
    <xf numFmtId="10" fontId="0" fillId="2" borderId="36" xfId="0" applyNumberFormat="1" applyFont="1" applyFill="1" applyBorder="1" applyAlignment="1">
      <alignment horizontal="right"/>
    </xf>
    <xf numFmtId="3" fontId="0" fillId="2" borderId="32" xfId="0" applyNumberFormat="1" applyFont="1" applyFill="1" applyBorder="1" applyAlignment="1">
      <alignment/>
    </xf>
    <xf numFmtId="3" fontId="0" fillId="2" borderId="31" xfId="0" applyNumberFormat="1" applyFont="1" applyFill="1" applyBorder="1" applyAlignment="1">
      <alignment/>
    </xf>
    <xf numFmtId="10" fontId="0" fillId="2" borderId="3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2" borderId="37" xfId="0" applyNumberFormat="1" applyFont="1" applyFill="1" applyBorder="1" applyAlignment="1">
      <alignment/>
    </xf>
    <xf numFmtId="10" fontId="0" fillId="2" borderId="37" xfId="0" applyNumberFormat="1" applyFont="1" applyFill="1" applyBorder="1" applyAlignment="1">
      <alignment/>
    </xf>
    <xf numFmtId="10" fontId="0" fillId="2" borderId="32" xfId="0" applyNumberFormat="1" applyFont="1" applyFill="1" applyBorder="1" applyAlignment="1">
      <alignment/>
    </xf>
    <xf numFmtId="3" fontId="0" fillId="2" borderId="22" xfId="0" applyNumberFormat="1" applyFont="1" applyFill="1" applyBorder="1" applyAlignment="1">
      <alignment/>
    </xf>
    <xf numFmtId="10" fontId="0" fillId="2" borderId="22" xfId="0" applyNumberFormat="1" applyFont="1" applyFill="1" applyBorder="1" applyAlignment="1">
      <alignment/>
    </xf>
    <xf numFmtId="3" fontId="7" fillId="2" borderId="22" xfId="0" applyNumberFormat="1" applyFont="1" applyFill="1" applyBorder="1" applyAlignment="1">
      <alignment/>
    </xf>
    <xf numFmtId="3" fontId="7" fillId="2" borderId="18" xfId="0" applyNumberFormat="1" applyFont="1" applyFill="1" applyBorder="1" applyAlignment="1">
      <alignment/>
    </xf>
    <xf numFmtId="10" fontId="7" fillId="2" borderId="18" xfId="0" applyNumberFormat="1" applyFont="1" applyFill="1" applyBorder="1" applyAlignment="1">
      <alignment/>
    </xf>
    <xf numFmtId="3" fontId="0" fillId="2" borderId="36" xfId="0" applyNumberFormat="1" applyFont="1" applyFill="1" applyBorder="1" applyAlignment="1">
      <alignment/>
    </xf>
    <xf numFmtId="10" fontId="0" fillId="2" borderId="36" xfId="0" applyNumberFormat="1" applyFont="1" applyFill="1" applyBorder="1" applyAlignment="1">
      <alignment/>
    </xf>
    <xf numFmtId="3" fontId="0" fillId="2" borderId="18" xfId="0" applyNumberFormat="1" applyFont="1" applyFill="1" applyBorder="1" applyAlignment="1">
      <alignment/>
    </xf>
    <xf numFmtId="10" fontId="0" fillId="2" borderId="18" xfId="0" applyNumberFormat="1" applyFont="1" applyFill="1" applyBorder="1" applyAlignment="1">
      <alignment/>
    </xf>
    <xf numFmtId="10" fontId="7" fillId="2" borderId="22" xfId="0" applyNumberFormat="1" applyFont="1" applyFill="1" applyBorder="1" applyAlignment="1">
      <alignment/>
    </xf>
    <xf numFmtId="3" fontId="0" fillId="2" borderId="26" xfId="0" applyNumberFormat="1" applyFont="1" applyFill="1" applyBorder="1" applyAlignment="1">
      <alignment wrapText="1"/>
    </xf>
    <xf numFmtId="10" fontId="0" fillId="2" borderId="26" xfId="0" applyNumberFormat="1" applyFont="1" applyFill="1" applyBorder="1" applyAlignment="1">
      <alignment wrapText="1"/>
    </xf>
    <xf numFmtId="3" fontId="7" fillId="2" borderId="18" xfId="0" applyNumberFormat="1" applyFont="1" applyFill="1" applyBorder="1" applyAlignment="1">
      <alignment wrapText="1"/>
    </xf>
    <xf numFmtId="10" fontId="0" fillId="2" borderId="30" xfId="0" applyNumberFormat="1" applyFont="1" applyFill="1" applyBorder="1" applyAlignment="1">
      <alignment horizontal="right" wrapText="1"/>
    </xf>
    <xf numFmtId="3" fontId="0" fillId="2" borderId="40" xfId="0" applyNumberFormat="1" applyFont="1" applyFill="1" applyBorder="1" applyAlignment="1">
      <alignment horizontal="right"/>
    </xf>
    <xf numFmtId="10" fontId="0" fillId="2" borderId="40" xfId="0" applyNumberFormat="1" applyFont="1" applyFill="1" applyBorder="1" applyAlignment="1">
      <alignment horizontal="right"/>
    </xf>
    <xf numFmtId="10" fontId="0" fillId="2" borderId="45" xfId="0" applyNumberFormat="1" applyFont="1" applyFill="1" applyBorder="1" applyAlignment="1">
      <alignment horizontal="right"/>
    </xf>
    <xf numFmtId="3" fontId="7" fillId="3" borderId="22" xfId="0" applyNumberFormat="1" applyFont="1" applyFill="1" applyBorder="1" applyAlignment="1">
      <alignment horizontal="right"/>
    </xf>
    <xf numFmtId="3" fontId="7" fillId="3" borderId="18" xfId="0" applyNumberFormat="1" applyFont="1" applyFill="1" applyBorder="1" applyAlignment="1">
      <alignment horizontal="right"/>
    </xf>
    <xf numFmtId="10" fontId="7" fillId="3" borderId="22" xfId="0" applyNumberFormat="1" applyFont="1" applyFill="1" applyBorder="1" applyAlignment="1">
      <alignment horizontal="right"/>
    </xf>
    <xf numFmtId="10" fontId="7" fillId="3" borderId="27" xfId="0" applyNumberFormat="1" applyFont="1" applyFill="1" applyBorder="1" applyAlignment="1">
      <alignment/>
    </xf>
    <xf numFmtId="3" fontId="7" fillId="2" borderId="26" xfId="0" applyNumberFormat="1" applyFont="1" applyFill="1" applyBorder="1" applyAlignment="1">
      <alignment horizontal="right"/>
    </xf>
    <xf numFmtId="3" fontId="7" fillId="2" borderId="25" xfId="0" applyNumberFormat="1" applyFont="1" applyFill="1" applyBorder="1" applyAlignment="1">
      <alignment horizontal="right"/>
    </xf>
    <xf numFmtId="10" fontId="7" fillId="2" borderId="25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wrapText="1"/>
    </xf>
    <xf numFmtId="10" fontId="7" fillId="2" borderId="26" xfId="0" applyNumberFormat="1" applyFont="1" applyFill="1" applyBorder="1" applyAlignment="1">
      <alignment horizontal="right" wrapText="1"/>
    </xf>
    <xf numFmtId="10" fontId="7" fillId="2" borderId="44" xfId="0" applyNumberFormat="1" applyFont="1" applyFill="1" applyBorder="1" applyAlignment="1">
      <alignment horizontal="right"/>
    </xf>
    <xf numFmtId="10" fontId="7" fillId="3" borderId="27" xfId="0" applyNumberFormat="1" applyFont="1" applyFill="1" applyBorder="1" applyAlignment="1">
      <alignment horizontal="right" wrapText="1"/>
    </xf>
    <xf numFmtId="0" fontId="7" fillId="2" borderId="13" xfId="0" applyFont="1" applyFill="1" applyBorder="1" applyAlignment="1">
      <alignment/>
    </xf>
    <xf numFmtId="3" fontId="0" fillId="2" borderId="28" xfId="0" applyNumberFormat="1" applyFont="1" applyFill="1" applyBorder="1" applyAlignment="1">
      <alignment horizontal="right" wrapText="1"/>
    </xf>
    <xf numFmtId="10" fontId="0" fillId="2" borderId="28" xfId="0" applyNumberFormat="1" applyFont="1" applyFill="1" applyBorder="1" applyAlignment="1">
      <alignment horizontal="right" wrapText="1"/>
    </xf>
    <xf numFmtId="3" fontId="0" fillId="2" borderId="31" xfId="0" applyNumberFormat="1" applyFont="1" applyFill="1" applyBorder="1" applyAlignment="1">
      <alignment horizontal="right" wrapText="1"/>
    </xf>
    <xf numFmtId="10" fontId="0" fillId="2" borderId="31" xfId="0" applyNumberFormat="1" applyFont="1" applyFill="1" applyBorder="1" applyAlignment="1">
      <alignment horizontal="right" wrapText="1"/>
    </xf>
    <xf numFmtId="10" fontId="0" fillId="2" borderId="23" xfId="0" applyNumberFormat="1" applyFont="1" applyFill="1" applyBorder="1" applyAlignment="1">
      <alignment horizontal="right" wrapText="1"/>
    </xf>
    <xf numFmtId="3" fontId="0" fillId="2" borderId="18" xfId="0" applyNumberFormat="1" applyFont="1" applyFill="1" applyBorder="1" applyAlignment="1">
      <alignment horizontal="right" wrapText="1"/>
    </xf>
    <xf numFmtId="10" fontId="0" fillId="2" borderId="18" xfId="0" applyNumberFormat="1" applyFont="1" applyFill="1" applyBorder="1" applyAlignment="1">
      <alignment horizontal="right" wrapText="1"/>
    </xf>
    <xf numFmtId="3" fontId="0" fillId="2" borderId="36" xfId="0" applyNumberFormat="1" applyFont="1" applyFill="1" applyBorder="1" applyAlignment="1">
      <alignment horizontal="right" wrapText="1"/>
    </xf>
    <xf numFmtId="10" fontId="0" fillId="2" borderId="36" xfId="0" applyNumberFormat="1" applyFont="1" applyFill="1" applyBorder="1" applyAlignment="1">
      <alignment horizontal="right" wrapText="1"/>
    </xf>
    <xf numFmtId="0" fontId="0" fillId="2" borderId="24" xfId="0" applyFont="1" applyFill="1" applyBorder="1" applyAlignment="1">
      <alignment horizontal="right"/>
    </xf>
    <xf numFmtId="0" fontId="7" fillId="4" borderId="18" xfId="0" applyFont="1" applyFill="1" applyBorder="1" applyAlignment="1">
      <alignment/>
    </xf>
    <xf numFmtId="0" fontId="7" fillId="4" borderId="18" xfId="0" applyFont="1" applyFill="1" applyBorder="1" applyAlignment="1">
      <alignment horizontal="left" wrapText="1"/>
    </xf>
    <xf numFmtId="3" fontId="7" fillId="4" borderId="22" xfId="0" applyNumberFormat="1" applyFont="1" applyFill="1" applyBorder="1" applyAlignment="1">
      <alignment horizontal="right" wrapText="1"/>
    </xf>
    <xf numFmtId="10" fontId="7" fillId="4" borderId="22" xfId="0" applyNumberFormat="1" applyFont="1" applyFill="1" applyBorder="1" applyAlignment="1">
      <alignment horizontal="right" wrapText="1"/>
    </xf>
    <xf numFmtId="10" fontId="0" fillId="2" borderId="23" xfId="0" applyNumberFormat="1" applyFont="1" applyFill="1" applyBorder="1" applyAlignment="1">
      <alignment/>
    </xf>
    <xf numFmtId="3" fontId="0" fillId="4" borderId="22" xfId="0" applyNumberFormat="1" applyFont="1" applyFill="1" applyBorder="1" applyAlignment="1">
      <alignment horizontal="right" wrapText="1"/>
    </xf>
    <xf numFmtId="3" fontId="0" fillId="4" borderId="18" xfId="0" applyNumberFormat="1" applyFont="1" applyFill="1" applyBorder="1" applyAlignment="1">
      <alignment horizontal="right" wrapText="1"/>
    </xf>
    <xf numFmtId="10" fontId="0" fillId="4" borderId="18" xfId="0" applyNumberFormat="1" applyFont="1" applyFill="1" applyBorder="1" applyAlignment="1">
      <alignment horizontal="right" wrapText="1"/>
    </xf>
    <xf numFmtId="3" fontId="7" fillId="4" borderId="18" xfId="0" applyNumberFormat="1" applyFont="1" applyFill="1" applyBorder="1" applyAlignment="1">
      <alignment horizontal="right" wrapText="1"/>
    </xf>
    <xf numFmtId="10" fontId="0" fillId="2" borderId="1" xfId="0" applyNumberFormat="1" applyFont="1" applyFill="1" applyBorder="1" applyAlignment="1">
      <alignment/>
    </xf>
    <xf numFmtId="0" fontId="7" fillId="4" borderId="13" xfId="0" applyFont="1" applyFill="1" applyBorder="1" applyAlignment="1">
      <alignment/>
    </xf>
    <xf numFmtId="0" fontId="0" fillId="4" borderId="36" xfId="0" applyFont="1" applyFill="1" applyBorder="1" applyAlignment="1">
      <alignment horizontal="left" wrapText="1"/>
    </xf>
    <xf numFmtId="3" fontId="0" fillId="4" borderId="37" xfId="0" applyNumberFormat="1" applyFont="1" applyFill="1" applyBorder="1" applyAlignment="1">
      <alignment horizontal="right" wrapText="1"/>
    </xf>
    <xf numFmtId="3" fontId="0" fillId="4" borderId="36" xfId="0" applyNumberFormat="1" applyFont="1" applyFill="1" applyBorder="1" applyAlignment="1">
      <alignment horizontal="right" wrapText="1"/>
    </xf>
    <xf numFmtId="10" fontId="0" fillId="4" borderId="36" xfId="0" applyNumberFormat="1" applyFont="1" applyFill="1" applyBorder="1" applyAlignment="1">
      <alignment horizontal="right" wrapText="1"/>
    </xf>
    <xf numFmtId="0" fontId="0" fillId="4" borderId="31" xfId="0" applyFont="1" applyFill="1" applyBorder="1" applyAlignment="1">
      <alignment horizontal="left" wrapText="1"/>
    </xf>
    <xf numFmtId="3" fontId="0" fillId="4" borderId="32" xfId="0" applyNumberFormat="1" applyFont="1" applyFill="1" applyBorder="1" applyAlignment="1">
      <alignment horizontal="right" wrapText="1"/>
    </xf>
    <xf numFmtId="3" fontId="0" fillId="4" borderId="31" xfId="0" applyNumberFormat="1" applyFont="1" applyFill="1" applyBorder="1" applyAlignment="1">
      <alignment horizontal="right" wrapText="1"/>
    </xf>
    <xf numFmtId="10" fontId="0" fillId="4" borderId="31" xfId="0" applyNumberFormat="1" applyFont="1" applyFill="1" applyBorder="1" applyAlignment="1">
      <alignment horizontal="right" wrapText="1"/>
    </xf>
    <xf numFmtId="0" fontId="0" fillId="4" borderId="18" xfId="0" applyFont="1" applyFill="1" applyBorder="1" applyAlignment="1">
      <alignment/>
    </xf>
    <xf numFmtId="10" fontId="0" fillId="2" borderId="46" xfId="0" applyNumberFormat="1" applyFont="1" applyFill="1" applyBorder="1" applyAlignment="1">
      <alignment horizontal="right" wrapText="1"/>
    </xf>
    <xf numFmtId="10" fontId="7" fillId="2" borderId="18" xfId="0" applyNumberFormat="1" applyFont="1" applyFill="1" applyBorder="1" applyAlignment="1">
      <alignment horizontal="right"/>
    </xf>
    <xf numFmtId="0" fontId="0" fillId="2" borderId="24" xfId="0" applyFont="1" applyFill="1" applyBorder="1" applyAlignment="1">
      <alignment/>
    </xf>
    <xf numFmtId="3" fontId="0" fillId="2" borderId="18" xfId="0" applyNumberFormat="1" applyFont="1" applyFill="1" applyBorder="1" applyAlignment="1">
      <alignment horizontal="right"/>
    </xf>
    <xf numFmtId="10" fontId="0" fillId="2" borderId="18" xfId="0" applyNumberFormat="1" applyFont="1" applyFill="1" applyBorder="1" applyAlignment="1">
      <alignment horizontal="right"/>
    </xf>
    <xf numFmtId="0" fontId="0" fillId="2" borderId="25" xfId="0" applyFont="1" applyFill="1" applyBorder="1" applyAlignment="1">
      <alignment/>
    </xf>
    <xf numFmtId="0" fontId="0" fillId="2" borderId="25" xfId="0" applyFont="1" applyFill="1" applyBorder="1" applyAlignment="1">
      <alignment horizontal="left" wrapText="1"/>
    </xf>
    <xf numFmtId="3" fontId="0" fillId="2" borderId="26" xfId="0" applyNumberFormat="1" applyFont="1" applyFill="1" applyBorder="1" applyAlignment="1">
      <alignment horizontal="right"/>
    </xf>
    <xf numFmtId="10" fontId="0" fillId="2" borderId="26" xfId="0" applyNumberFormat="1" applyFont="1" applyFill="1" applyBorder="1" applyAlignment="1">
      <alignment horizontal="right"/>
    </xf>
    <xf numFmtId="10" fontId="0" fillId="2" borderId="47" xfId="0" applyNumberFormat="1" applyFont="1" applyFill="1" applyBorder="1" applyAlignment="1">
      <alignment horizontal="right"/>
    </xf>
    <xf numFmtId="0" fontId="7" fillId="2" borderId="24" xfId="0" applyFont="1" applyFill="1" applyBorder="1" applyAlignment="1">
      <alignment/>
    </xf>
    <xf numFmtId="10" fontId="0" fillId="2" borderId="47" xfId="0" applyNumberFormat="1" applyFont="1" applyFill="1" applyBorder="1" applyAlignment="1">
      <alignment horizontal="right" wrapText="1"/>
    </xf>
    <xf numFmtId="3" fontId="0" fillId="2" borderId="13" xfId="0" applyNumberFormat="1" applyFont="1" applyFill="1" applyBorder="1" applyAlignment="1">
      <alignment horizontal="right" wrapText="1"/>
    </xf>
    <xf numFmtId="10" fontId="0" fillId="2" borderId="44" xfId="0" applyNumberFormat="1" applyFont="1" applyFill="1" applyBorder="1" applyAlignment="1">
      <alignment horizontal="right" wrapText="1"/>
    </xf>
    <xf numFmtId="0" fontId="0" fillId="2" borderId="48" xfId="0" applyFont="1" applyFill="1" applyBorder="1" applyAlignment="1">
      <alignment horizontal="right"/>
    </xf>
    <xf numFmtId="0" fontId="0" fillId="2" borderId="48" xfId="0" applyFont="1" applyFill="1" applyBorder="1" applyAlignment="1" quotePrefix="1">
      <alignment horizontal="right"/>
    </xf>
    <xf numFmtId="0" fontId="0" fillId="2" borderId="48" xfId="0" applyFont="1" applyFill="1" applyBorder="1" applyAlignment="1">
      <alignment wrapText="1"/>
    </xf>
    <xf numFmtId="3" fontId="0" fillId="2" borderId="48" xfId="0" applyNumberFormat="1" applyFont="1" applyFill="1" applyBorder="1" applyAlignment="1">
      <alignment horizontal="right" wrapText="1"/>
    </xf>
    <xf numFmtId="10" fontId="0" fillId="2" borderId="48" xfId="0" applyNumberFormat="1" applyFont="1" applyFill="1" applyBorder="1" applyAlignment="1">
      <alignment horizontal="right" wrapText="1"/>
    </xf>
    <xf numFmtId="10" fontId="0" fillId="2" borderId="0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 horizontal="right"/>
    </xf>
    <xf numFmtId="10" fontId="0" fillId="2" borderId="13" xfId="0" applyNumberFormat="1" applyFont="1" applyFill="1" applyBorder="1" applyAlignment="1">
      <alignment horizontal="right"/>
    </xf>
    <xf numFmtId="3" fontId="0" fillId="2" borderId="43" xfId="0" applyNumberFormat="1" applyFont="1" applyFill="1" applyBorder="1" applyAlignment="1">
      <alignment horizontal="right"/>
    </xf>
    <xf numFmtId="3" fontId="0" fillId="2" borderId="42" xfId="0" applyNumberFormat="1" applyFont="1" applyFill="1" applyBorder="1" applyAlignment="1">
      <alignment horizontal="right"/>
    </xf>
    <xf numFmtId="10" fontId="0" fillId="2" borderId="42" xfId="0" applyNumberFormat="1" applyFont="1" applyFill="1" applyBorder="1" applyAlignment="1">
      <alignment horizontal="right"/>
    </xf>
    <xf numFmtId="3" fontId="0" fillId="2" borderId="39" xfId="0" applyNumberFormat="1" applyFont="1" applyFill="1" applyBorder="1" applyAlignment="1">
      <alignment horizontal="right"/>
    </xf>
    <xf numFmtId="10" fontId="0" fillId="2" borderId="39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2" borderId="43" xfId="0" applyNumberFormat="1" applyFont="1" applyFill="1" applyBorder="1" applyAlignment="1">
      <alignment horizontal="right" wrapText="1"/>
    </xf>
    <xf numFmtId="10" fontId="0" fillId="2" borderId="13" xfId="0" applyNumberFormat="1" applyFont="1" applyFill="1" applyBorder="1" applyAlignment="1">
      <alignment horizontal="right" wrapText="1"/>
    </xf>
    <xf numFmtId="3" fontId="0" fillId="2" borderId="39" xfId="0" applyNumberFormat="1" applyFont="1" applyFill="1" applyBorder="1" applyAlignment="1">
      <alignment horizontal="right" wrapText="1"/>
    </xf>
    <xf numFmtId="10" fontId="0" fillId="2" borderId="39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wrapText="1"/>
    </xf>
    <xf numFmtId="10" fontId="7" fillId="3" borderId="18" xfId="0" applyNumberFormat="1" applyFont="1" applyFill="1" applyBorder="1" applyAlignment="1">
      <alignment horizontal="right"/>
    </xf>
    <xf numFmtId="10" fontId="7" fillId="3" borderId="23" xfId="0" applyNumberFormat="1" applyFont="1" applyFill="1" applyBorder="1" applyAlignment="1">
      <alignment horizontal="right"/>
    </xf>
    <xf numFmtId="10" fontId="0" fillId="2" borderId="46" xfId="0" applyNumberFormat="1" applyFont="1" applyFill="1" applyBorder="1" applyAlignment="1">
      <alignment horizontal="right"/>
    </xf>
    <xf numFmtId="3" fontId="0" fillId="2" borderId="25" xfId="0" applyNumberFormat="1" applyFont="1" applyFill="1" applyBorder="1" applyAlignment="1">
      <alignment horizontal="right"/>
    </xf>
    <xf numFmtId="10" fontId="0" fillId="2" borderId="25" xfId="0" applyNumberFormat="1" applyFont="1" applyFill="1" applyBorder="1" applyAlignment="1">
      <alignment horizontal="right"/>
    </xf>
    <xf numFmtId="10" fontId="0" fillId="2" borderId="27" xfId="0" applyNumberFormat="1" applyFont="1" applyFill="1" applyBorder="1" applyAlignment="1">
      <alignment horizontal="right"/>
    </xf>
    <xf numFmtId="3" fontId="0" fillId="2" borderId="39" xfId="0" applyNumberFormat="1" applyFont="1" applyFill="1" applyBorder="1" applyAlignment="1">
      <alignment wrapText="1"/>
    </xf>
    <xf numFmtId="10" fontId="0" fillId="2" borderId="39" xfId="0" applyNumberFormat="1" applyFont="1" applyFill="1" applyBorder="1" applyAlignment="1">
      <alignment wrapText="1"/>
    </xf>
    <xf numFmtId="10" fontId="7" fillId="2" borderId="20" xfId="0" applyNumberFormat="1" applyFont="1" applyFill="1" applyBorder="1" applyAlignment="1">
      <alignment horizontal="right"/>
    </xf>
    <xf numFmtId="10" fontId="7" fillId="2" borderId="21" xfId="0" applyNumberFormat="1" applyFont="1" applyFill="1" applyBorder="1" applyAlignment="1">
      <alignment horizontal="right" wrapText="1"/>
    </xf>
    <xf numFmtId="0" fontId="0" fillId="2" borderId="24" xfId="0" applyFont="1" applyFill="1" applyBorder="1" applyAlignment="1">
      <alignment wrapText="1"/>
    </xf>
    <xf numFmtId="3" fontId="0" fillId="2" borderId="49" xfId="0" applyNumberFormat="1" applyFont="1" applyFill="1" applyBorder="1" applyAlignment="1">
      <alignment horizontal="right"/>
    </xf>
    <xf numFmtId="10" fontId="0" fillId="2" borderId="49" xfId="0" applyNumberFormat="1" applyFont="1" applyFill="1" applyBorder="1" applyAlignment="1">
      <alignment horizontal="right"/>
    </xf>
    <xf numFmtId="0" fontId="0" fillId="2" borderId="48" xfId="0" applyFont="1" applyFill="1" applyBorder="1" applyAlignment="1">
      <alignment/>
    </xf>
    <xf numFmtId="3" fontId="0" fillId="2" borderId="48" xfId="0" applyNumberFormat="1" applyFont="1" applyFill="1" applyBorder="1" applyAlignment="1">
      <alignment horizontal="right"/>
    </xf>
    <xf numFmtId="10" fontId="0" fillId="2" borderId="48" xfId="0" applyNumberFormat="1" applyFont="1" applyFill="1" applyBorder="1" applyAlignment="1">
      <alignment horizontal="right"/>
    </xf>
    <xf numFmtId="10" fontId="0" fillId="2" borderId="41" xfId="0" applyNumberFormat="1" applyFont="1" applyFill="1" applyBorder="1" applyAlignment="1">
      <alignment horizontal="right"/>
    </xf>
    <xf numFmtId="0" fontId="7" fillId="2" borderId="19" xfId="0" applyFont="1" applyFill="1" applyBorder="1" applyAlignment="1">
      <alignment wrapText="1"/>
    </xf>
    <xf numFmtId="10" fontId="0" fillId="2" borderId="21" xfId="0" applyNumberFormat="1" applyFont="1" applyFill="1" applyBorder="1" applyAlignment="1">
      <alignment horizontal="right" wrapText="1"/>
    </xf>
    <xf numFmtId="0" fontId="7" fillId="3" borderId="13" xfId="0" applyFont="1" applyFill="1" applyBorder="1" applyAlignment="1">
      <alignment horizontal="right"/>
    </xf>
    <xf numFmtId="0" fontId="7" fillId="3" borderId="13" xfId="0" applyFont="1" applyFill="1" applyBorder="1" applyAlignment="1">
      <alignment/>
    </xf>
    <xf numFmtId="0" fontId="7" fillId="3" borderId="13" xfId="0" applyFont="1" applyFill="1" applyBorder="1" applyAlignment="1">
      <alignment wrapText="1"/>
    </xf>
    <xf numFmtId="3" fontId="7" fillId="3" borderId="14" xfId="0" applyNumberFormat="1" applyFont="1" applyFill="1" applyBorder="1" applyAlignment="1">
      <alignment horizontal="right"/>
    </xf>
    <xf numFmtId="3" fontId="7" fillId="3" borderId="13" xfId="0" applyNumberFormat="1" applyFont="1" applyFill="1" applyBorder="1" applyAlignment="1">
      <alignment horizontal="right"/>
    </xf>
    <xf numFmtId="10" fontId="7" fillId="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3" borderId="23" xfId="0" applyFont="1" applyFill="1" applyBorder="1" applyAlignment="1">
      <alignment horizontal="left" wrapText="1"/>
    </xf>
    <xf numFmtId="0" fontId="7" fillId="4" borderId="13" xfId="0" applyFont="1" applyFill="1" applyBorder="1" applyAlignment="1">
      <alignment horizontal="right"/>
    </xf>
    <xf numFmtId="10" fontId="7" fillId="4" borderId="18" xfId="0" applyNumberFormat="1" applyFont="1" applyFill="1" applyBorder="1" applyAlignment="1">
      <alignment horizontal="right" wrapText="1"/>
    </xf>
    <xf numFmtId="0" fontId="7" fillId="4" borderId="23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4" borderId="13" xfId="0" applyFont="1" applyFill="1" applyBorder="1" applyAlignment="1">
      <alignment horizontal="right"/>
    </xf>
    <xf numFmtId="0" fontId="0" fillId="4" borderId="18" xfId="0" applyFont="1" applyFill="1" applyBorder="1" applyAlignment="1">
      <alignment horizontal="left" wrapText="1"/>
    </xf>
    <xf numFmtId="0" fontId="0" fillId="4" borderId="23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right"/>
    </xf>
    <xf numFmtId="0" fontId="7" fillId="0" borderId="18" xfId="0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10" fontId="7" fillId="0" borderId="18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8" xfId="0" applyFont="1" applyBorder="1" applyAlignment="1">
      <alignment wrapText="1"/>
    </xf>
    <xf numFmtId="3" fontId="0" fillId="0" borderId="29" xfId="0" applyNumberFormat="1" applyFont="1" applyBorder="1" applyAlignment="1">
      <alignment wrapText="1"/>
    </xf>
    <xf numFmtId="10" fontId="0" fillId="0" borderId="29" xfId="0" applyNumberFormat="1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3" fontId="0" fillId="0" borderId="22" xfId="0" applyNumberFormat="1" applyFont="1" applyBorder="1" applyAlignment="1">
      <alignment wrapText="1"/>
    </xf>
    <xf numFmtId="10" fontId="0" fillId="0" borderId="22" xfId="0" applyNumberFormat="1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10" fontId="7" fillId="0" borderId="25" xfId="0" applyNumberFormat="1" applyFont="1" applyBorder="1" applyAlignment="1">
      <alignment/>
    </xf>
    <xf numFmtId="3" fontId="0" fillId="6" borderId="22" xfId="0" applyNumberFormat="1" applyFont="1" applyFill="1" applyBorder="1" applyAlignment="1">
      <alignment horizontal="right" wrapText="1"/>
    </xf>
    <xf numFmtId="10" fontId="0" fillId="6" borderId="22" xfId="0" applyNumberFormat="1" applyFont="1" applyFill="1" applyBorder="1" applyAlignment="1">
      <alignment horizontal="right" wrapText="1"/>
    </xf>
    <xf numFmtId="3" fontId="7" fillId="0" borderId="22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wrapText="1"/>
    </xf>
    <xf numFmtId="10" fontId="7" fillId="0" borderId="18" xfId="0" applyNumberFormat="1" applyFont="1" applyBorder="1" applyAlignment="1">
      <alignment wrapText="1"/>
    </xf>
    <xf numFmtId="0" fontId="0" fillId="0" borderId="25" xfId="0" applyFont="1" applyBorder="1" applyAlignment="1">
      <alignment wrapText="1"/>
    </xf>
    <xf numFmtId="10" fontId="7" fillId="0" borderId="22" xfId="0" applyNumberFormat="1" applyFont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48" xfId="0" applyFont="1" applyBorder="1" applyAlignment="1">
      <alignment horizontal="right"/>
    </xf>
    <xf numFmtId="0" fontId="0" fillId="0" borderId="48" xfId="0" applyFont="1" applyBorder="1" applyAlignment="1">
      <alignment/>
    </xf>
    <xf numFmtId="3" fontId="0" fillId="6" borderId="48" xfId="0" applyNumberFormat="1" applyFont="1" applyFill="1" applyBorder="1" applyAlignment="1">
      <alignment horizontal="right" wrapText="1"/>
    </xf>
    <xf numFmtId="10" fontId="0" fillId="6" borderId="48" xfId="0" applyNumberFormat="1" applyFont="1" applyFill="1" applyBorder="1" applyAlignment="1">
      <alignment horizontal="right" wrapText="1"/>
    </xf>
    <xf numFmtId="0" fontId="0" fillId="0" borderId="41" xfId="0" applyFont="1" applyBorder="1" applyAlignment="1">
      <alignment wrapText="1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left" wrapText="1"/>
    </xf>
    <xf numFmtId="3" fontId="7" fillId="0" borderId="20" xfId="0" applyNumberFormat="1" applyFont="1" applyBorder="1" applyAlignment="1">
      <alignment horizontal="right" wrapText="1"/>
    </xf>
    <xf numFmtId="3" fontId="7" fillId="0" borderId="19" xfId="0" applyNumberFormat="1" applyFont="1" applyBorder="1" applyAlignment="1">
      <alignment horizontal="right" wrapText="1"/>
    </xf>
    <xf numFmtId="10" fontId="7" fillId="0" borderId="19" xfId="0" applyNumberFormat="1" applyFont="1" applyBorder="1" applyAlignment="1">
      <alignment horizontal="right" wrapText="1"/>
    </xf>
    <xf numFmtId="0" fontId="7" fillId="0" borderId="2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3" fontId="7" fillId="0" borderId="14" xfId="0" applyNumberFormat="1" applyFont="1" applyBorder="1" applyAlignment="1">
      <alignment horizontal="right" wrapText="1"/>
    </xf>
    <xf numFmtId="3" fontId="7" fillId="0" borderId="13" xfId="0" applyNumberFormat="1" applyFont="1" applyBorder="1" applyAlignment="1">
      <alignment horizontal="right" wrapText="1"/>
    </xf>
    <xf numFmtId="10" fontId="7" fillId="0" borderId="13" xfId="0" applyNumberFormat="1" applyFont="1" applyBorder="1" applyAlignment="1">
      <alignment horizontal="right" wrapText="1"/>
    </xf>
    <xf numFmtId="0" fontId="0" fillId="0" borderId="25" xfId="0" applyFont="1" applyBorder="1" applyAlignment="1">
      <alignment horizontal="left" wrapText="1"/>
    </xf>
    <xf numFmtId="3" fontId="0" fillId="0" borderId="26" xfId="0" applyNumberFormat="1" applyFont="1" applyBorder="1" applyAlignment="1">
      <alignment horizontal="right" wrapText="1"/>
    </xf>
    <xf numFmtId="3" fontId="0" fillId="0" borderId="25" xfId="0" applyNumberFormat="1" applyFont="1" applyBorder="1" applyAlignment="1">
      <alignment horizontal="right" wrapText="1"/>
    </xf>
    <xf numFmtId="10" fontId="0" fillId="0" borderId="25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3" fontId="0" fillId="0" borderId="25" xfId="0" applyNumberFormat="1" applyFont="1" applyBorder="1" applyAlignment="1">
      <alignment wrapText="1"/>
    </xf>
    <xf numFmtId="10" fontId="0" fillId="0" borderId="25" xfId="0" applyNumberFormat="1" applyFont="1" applyBorder="1" applyAlignment="1">
      <alignment wrapText="1"/>
    </xf>
    <xf numFmtId="3" fontId="7" fillId="3" borderId="26" xfId="0" applyNumberFormat="1" applyFont="1" applyFill="1" applyBorder="1" applyAlignment="1">
      <alignment wrapText="1"/>
    </xf>
    <xf numFmtId="3" fontId="7" fillId="3" borderId="25" xfId="0" applyNumberFormat="1" applyFont="1" applyFill="1" applyBorder="1" applyAlignment="1">
      <alignment wrapText="1"/>
    </xf>
    <xf numFmtId="10" fontId="7" fillId="3" borderId="25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5" xfId="0" applyFont="1" applyBorder="1" applyAlignment="1">
      <alignment wrapText="1"/>
    </xf>
    <xf numFmtId="3" fontId="7" fillId="0" borderId="26" xfId="0" applyNumberFormat="1" applyFont="1" applyBorder="1" applyAlignment="1">
      <alignment wrapText="1"/>
    </xf>
    <xf numFmtId="3" fontId="7" fillId="0" borderId="25" xfId="0" applyNumberFormat="1" applyFont="1" applyBorder="1" applyAlignment="1">
      <alignment wrapText="1"/>
    </xf>
    <xf numFmtId="10" fontId="7" fillId="0" borderId="25" xfId="0" applyNumberFormat="1" applyFont="1" applyBorder="1" applyAlignment="1">
      <alignment wrapText="1"/>
    </xf>
    <xf numFmtId="0" fontId="0" fillId="0" borderId="13" xfId="0" applyFont="1" applyBorder="1" applyAlignment="1">
      <alignment/>
    </xf>
    <xf numFmtId="3" fontId="0" fillId="0" borderId="18" xfId="0" applyNumberFormat="1" applyFont="1" applyBorder="1" applyAlignment="1">
      <alignment wrapText="1"/>
    </xf>
    <xf numFmtId="10" fontId="0" fillId="0" borderId="18" xfId="0" applyNumberFormat="1" applyFont="1" applyBorder="1" applyAlignment="1">
      <alignment wrapText="1"/>
    </xf>
    <xf numFmtId="0" fontId="7" fillId="2" borderId="13" xfId="0" applyFont="1" applyFill="1" applyBorder="1" applyAlignment="1">
      <alignment wrapText="1"/>
    </xf>
    <xf numFmtId="3" fontId="7" fillId="2" borderId="14" xfId="0" applyNumberFormat="1" applyFont="1" applyFill="1" applyBorder="1" applyAlignment="1">
      <alignment horizontal="right"/>
    </xf>
    <xf numFmtId="3" fontId="7" fillId="2" borderId="13" xfId="0" applyNumberFormat="1" applyFont="1" applyFill="1" applyBorder="1" applyAlignment="1">
      <alignment horizontal="right"/>
    </xf>
    <xf numFmtId="10" fontId="7" fillId="2" borderId="13" xfId="0" applyNumberFormat="1" applyFont="1" applyFill="1" applyBorder="1" applyAlignment="1">
      <alignment horizontal="right"/>
    </xf>
    <xf numFmtId="10" fontId="0" fillId="2" borderId="21" xfId="0" applyNumberFormat="1" applyFont="1" applyFill="1" applyBorder="1" applyAlignment="1">
      <alignment horizontal="right"/>
    </xf>
    <xf numFmtId="0" fontId="7" fillId="3" borderId="50" xfId="0" applyFont="1" applyFill="1" applyBorder="1" applyAlignment="1">
      <alignment wrapText="1"/>
    </xf>
    <xf numFmtId="3" fontId="7" fillId="3" borderId="51" xfId="0" applyNumberFormat="1" applyFont="1" applyFill="1" applyBorder="1" applyAlignment="1">
      <alignment horizontal="right"/>
    </xf>
    <xf numFmtId="3" fontId="7" fillId="3" borderId="50" xfId="0" applyNumberFormat="1" applyFont="1" applyFill="1" applyBorder="1" applyAlignment="1">
      <alignment horizontal="right"/>
    </xf>
    <xf numFmtId="10" fontId="7" fillId="3" borderId="51" xfId="0" applyNumberFormat="1" applyFont="1" applyFill="1" applyBorder="1" applyAlignment="1">
      <alignment horizontal="right"/>
    </xf>
    <xf numFmtId="10" fontId="7" fillId="2" borderId="26" xfId="0" applyNumberFormat="1" applyFont="1" applyFill="1" applyBorder="1" applyAlignment="1">
      <alignment horizontal="right"/>
    </xf>
    <xf numFmtId="10" fontId="0" fillId="3" borderId="23" xfId="0" applyNumberFormat="1" applyFont="1" applyFill="1" applyBorder="1" applyAlignment="1">
      <alignment horizontal="right"/>
    </xf>
    <xf numFmtId="3" fontId="0" fillId="2" borderId="49" xfId="0" applyNumberFormat="1" applyFont="1" applyFill="1" applyBorder="1" applyAlignment="1">
      <alignment horizontal="right" wrapText="1"/>
    </xf>
    <xf numFmtId="10" fontId="0" fillId="2" borderId="49" xfId="0" applyNumberFormat="1" applyFont="1" applyFill="1" applyBorder="1" applyAlignment="1">
      <alignment horizontal="right" wrapText="1"/>
    </xf>
    <xf numFmtId="3" fontId="7" fillId="3" borderId="23" xfId="0" applyNumberFormat="1" applyFont="1" applyFill="1" applyBorder="1" applyAlignment="1">
      <alignment horizontal="right"/>
    </xf>
    <xf numFmtId="3" fontId="7" fillId="3" borderId="18" xfId="0" applyNumberFormat="1" applyFont="1" applyFill="1" applyBorder="1" applyAlignment="1">
      <alignment wrapText="1"/>
    </xf>
    <xf numFmtId="3" fontId="7" fillId="3" borderId="22" xfId="0" applyNumberFormat="1" applyFont="1" applyFill="1" applyBorder="1" applyAlignment="1">
      <alignment wrapText="1"/>
    </xf>
    <xf numFmtId="10" fontId="7" fillId="3" borderId="18" xfId="0" applyNumberFormat="1" applyFont="1" applyFill="1" applyBorder="1" applyAlignment="1">
      <alignment wrapText="1"/>
    </xf>
    <xf numFmtId="3" fontId="0" fillId="2" borderId="24" xfId="0" applyNumberFormat="1" applyFont="1" applyFill="1" applyBorder="1" applyAlignment="1">
      <alignment horizontal="right"/>
    </xf>
    <xf numFmtId="10" fontId="0" fillId="2" borderId="24" xfId="0" applyNumberFormat="1" applyFont="1" applyFill="1" applyBorder="1" applyAlignment="1">
      <alignment horizontal="right"/>
    </xf>
    <xf numFmtId="0" fontId="7" fillId="2" borderId="24" xfId="0" applyFont="1" applyFill="1" applyBorder="1" applyAlignment="1">
      <alignment wrapText="1"/>
    </xf>
    <xf numFmtId="3" fontId="7" fillId="2" borderId="49" xfId="0" applyNumberFormat="1" applyFont="1" applyFill="1" applyBorder="1" applyAlignment="1">
      <alignment horizontal="right"/>
    </xf>
    <xf numFmtId="3" fontId="7" fillId="2" borderId="24" xfId="0" applyNumberFormat="1" applyFont="1" applyFill="1" applyBorder="1" applyAlignment="1">
      <alignment horizontal="right"/>
    </xf>
    <xf numFmtId="10" fontId="7" fillId="2" borderId="24" xfId="0" applyNumberFormat="1" applyFont="1" applyFill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3" fontId="7" fillId="3" borderId="27" xfId="0" applyNumberFormat="1" applyFont="1" applyFill="1" applyBorder="1" applyAlignment="1">
      <alignment horizontal="right"/>
    </xf>
    <xf numFmtId="3" fontId="7" fillId="2" borderId="14" xfId="0" applyNumberFormat="1" applyFont="1" applyFill="1" applyBorder="1" applyAlignment="1">
      <alignment horizontal="right" wrapText="1"/>
    </xf>
    <xf numFmtId="3" fontId="7" fillId="2" borderId="13" xfId="0" applyNumberFormat="1" applyFont="1" applyFill="1" applyBorder="1" applyAlignment="1">
      <alignment horizontal="right" wrapText="1"/>
    </xf>
    <xf numFmtId="10" fontId="7" fillId="2" borderId="13" xfId="0" applyNumberFormat="1" applyFont="1" applyFill="1" applyBorder="1" applyAlignment="1">
      <alignment horizontal="right" wrapText="1"/>
    </xf>
    <xf numFmtId="3" fontId="8" fillId="2" borderId="16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/>
    </xf>
    <xf numFmtId="10" fontId="8" fillId="2" borderId="15" xfId="0" applyNumberFormat="1" applyFont="1" applyFill="1" applyBorder="1" applyAlignment="1">
      <alignment horizontal="right"/>
    </xf>
    <xf numFmtId="10" fontId="7" fillId="2" borderId="17" xfId="0" applyNumberFormat="1" applyFont="1" applyFill="1" applyBorder="1" applyAlignment="1">
      <alignment horizontal="right"/>
    </xf>
    <xf numFmtId="0" fontId="7" fillId="2" borderId="19" xfId="0" applyFont="1" applyFill="1" applyBorder="1" applyAlignment="1">
      <alignment horizontal="left"/>
    </xf>
    <xf numFmtId="10" fontId="7" fillId="2" borderId="21" xfId="0" applyNumberFormat="1" applyFont="1" applyFill="1" applyBorder="1" applyAlignment="1">
      <alignment horizontal="right"/>
    </xf>
    <xf numFmtId="10" fontId="7" fillId="3" borderId="52" xfId="0" applyNumberFormat="1" applyFont="1" applyFill="1" applyBorder="1" applyAlignment="1">
      <alignment horizontal="right" wrapText="1"/>
    </xf>
    <xf numFmtId="0" fontId="0" fillId="2" borderId="24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3" borderId="25" xfId="0" applyFont="1" applyFill="1" applyBorder="1" applyAlignment="1">
      <alignment horizontal="right" wrapText="1"/>
    </xf>
    <xf numFmtId="3" fontId="7" fillId="2" borderId="29" xfId="0" applyNumberFormat="1" applyFont="1" applyFill="1" applyBorder="1" applyAlignment="1">
      <alignment horizontal="right" wrapText="1"/>
    </xf>
    <xf numFmtId="3" fontId="7" fillId="2" borderId="28" xfId="0" applyNumberFormat="1" applyFont="1" applyFill="1" applyBorder="1" applyAlignment="1">
      <alignment horizontal="right" wrapText="1"/>
    </xf>
    <xf numFmtId="10" fontId="7" fillId="2" borderId="14" xfId="0" applyNumberFormat="1" applyFont="1" applyFill="1" applyBorder="1" applyAlignment="1">
      <alignment horizontal="right" wrapText="1"/>
    </xf>
    <xf numFmtId="10" fontId="7" fillId="2" borderId="30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10" fontId="0" fillId="2" borderId="14" xfId="0" applyNumberFormat="1" applyFont="1" applyFill="1" applyBorder="1" applyAlignment="1">
      <alignment/>
    </xf>
    <xf numFmtId="10" fontId="0" fillId="2" borderId="38" xfId="0" applyNumberFormat="1" applyFont="1" applyFill="1" applyBorder="1" applyAlignment="1">
      <alignment/>
    </xf>
    <xf numFmtId="10" fontId="7" fillId="4" borderId="0" xfId="0" applyNumberFormat="1" applyFont="1" applyFill="1" applyBorder="1" applyAlignment="1">
      <alignment horizontal="right" wrapText="1"/>
    </xf>
    <xf numFmtId="3" fontId="0" fillId="2" borderId="39" xfId="0" applyNumberFormat="1" applyFont="1" applyFill="1" applyBorder="1" applyAlignment="1">
      <alignment/>
    </xf>
    <xf numFmtId="3" fontId="0" fillId="2" borderId="40" xfId="0" applyNumberFormat="1" applyFont="1" applyFill="1" applyBorder="1" applyAlignment="1">
      <alignment/>
    </xf>
    <xf numFmtId="10" fontId="0" fillId="2" borderId="40" xfId="0" applyNumberFormat="1" applyFont="1" applyFill="1" applyBorder="1" applyAlignment="1">
      <alignment/>
    </xf>
    <xf numFmtId="0" fontId="0" fillId="2" borderId="48" xfId="0" applyFont="1" applyFill="1" applyBorder="1" applyAlignment="1">
      <alignment horizontal="left" wrapText="1"/>
    </xf>
    <xf numFmtId="3" fontId="0" fillId="2" borderId="48" xfId="0" applyNumberFormat="1" applyFont="1" applyFill="1" applyBorder="1" applyAlignment="1">
      <alignment/>
    </xf>
    <xf numFmtId="10" fontId="0" fillId="2" borderId="48" xfId="0" applyNumberFormat="1" applyFon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10" fontId="7" fillId="2" borderId="44" xfId="0" applyNumberFormat="1" applyFont="1" applyFill="1" applyBorder="1" applyAlignment="1">
      <alignment horizontal="right" wrapText="1"/>
    </xf>
    <xf numFmtId="10" fontId="7" fillId="2" borderId="0" xfId="0" applyNumberFormat="1" applyFont="1" applyFill="1" applyBorder="1" applyAlignment="1">
      <alignment horizontal="right"/>
    </xf>
    <xf numFmtId="0" fontId="0" fillId="2" borderId="18" xfId="0" applyFont="1" applyFill="1" applyBorder="1" applyAlignment="1">
      <alignment horizontal="right" wrapText="1"/>
    </xf>
    <xf numFmtId="0" fontId="0" fillId="2" borderId="18" xfId="0" applyFont="1" applyFill="1" applyBorder="1" applyAlignment="1" quotePrefix="1">
      <alignment horizontal="right" wrapText="1"/>
    </xf>
    <xf numFmtId="10" fontId="0" fillId="2" borderId="44" xfId="0" applyNumberFormat="1" applyFont="1" applyFill="1" applyBorder="1" applyAlignment="1">
      <alignment/>
    </xf>
    <xf numFmtId="10" fontId="0" fillId="2" borderId="45" xfId="0" applyNumberFormat="1" applyFont="1" applyFill="1" applyBorder="1" applyAlignment="1">
      <alignment/>
    </xf>
    <xf numFmtId="0" fontId="7" fillId="2" borderId="25" xfId="0" applyFont="1" applyFill="1" applyBorder="1" applyAlignment="1">
      <alignment horizontal="left" wrapText="1"/>
    </xf>
    <xf numFmtId="0" fontId="7" fillId="7" borderId="24" xfId="0" applyFont="1" applyFill="1" applyBorder="1" applyAlignment="1">
      <alignment horizontal="right" wrapText="1"/>
    </xf>
    <xf numFmtId="0" fontId="7" fillId="7" borderId="25" xfId="0" applyFont="1" applyFill="1" applyBorder="1" applyAlignment="1">
      <alignment wrapText="1"/>
    </xf>
    <xf numFmtId="0" fontId="7" fillId="7" borderId="25" xfId="0" applyFont="1" applyFill="1" applyBorder="1" applyAlignment="1">
      <alignment horizontal="left" wrapText="1"/>
    </xf>
    <xf numFmtId="3" fontId="7" fillId="7" borderId="26" xfId="0" applyNumberFormat="1" applyFont="1" applyFill="1" applyBorder="1" applyAlignment="1">
      <alignment horizontal="right" wrapText="1"/>
    </xf>
    <xf numFmtId="3" fontId="7" fillId="7" borderId="25" xfId="0" applyNumberFormat="1" applyFont="1" applyFill="1" applyBorder="1" applyAlignment="1">
      <alignment horizontal="right" wrapText="1"/>
    </xf>
    <xf numFmtId="10" fontId="7" fillId="7" borderId="18" xfId="0" applyNumberFormat="1" applyFont="1" applyFill="1" applyBorder="1" applyAlignment="1">
      <alignment horizontal="right" wrapText="1"/>
    </xf>
    <xf numFmtId="10" fontId="7" fillId="7" borderId="23" xfId="0" applyNumberFormat="1" applyFont="1" applyFill="1" applyBorder="1" applyAlignment="1">
      <alignment horizontal="right" wrapText="1"/>
    </xf>
    <xf numFmtId="0" fontId="0" fillId="7" borderId="1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7" fillId="7" borderId="13" xfId="0" applyFont="1" applyFill="1" applyBorder="1" applyAlignment="1">
      <alignment horizontal="right" wrapText="1"/>
    </xf>
    <xf numFmtId="0" fontId="7" fillId="7" borderId="24" xfId="0" applyFont="1" applyFill="1" applyBorder="1" applyAlignment="1">
      <alignment wrapText="1"/>
    </xf>
    <xf numFmtId="0" fontId="0" fillId="7" borderId="28" xfId="0" applyFont="1" applyFill="1" applyBorder="1" applyAlignment="1">
      <alignment horizontal="left" wrapText="1"/>
    </xf>
    <xf numFmtId="3" fontId="0" fillId="7" borderId="29" xfId="0" applyNumberFormat="1" applyFont="1" applyFill="1" applyBorder="1" applyAlignment="1">
      <alignment horizontal="right" wrapText="1"/>
    </xf>
    <xf numFmtId="3" fontId="0" fillId="7" borderId="28" xfId="0" applyNumberFormat="1" applyFont="1" applyFill="1" applyBorder="1" applyAlignment="1">
      <alignment horizontal="right" wrapText="1"/>
    </xf>
    <xf numFmtId="10" fontId="0" fillId="7" borderId="28" xfId="0" applyNumberFormat="1" applyFont="1" applyFill="1" applyBorder="1" applyAlignment="1">
      <alignment horizontal="right" wrapText="1"/>
    </xf>
    <xf numFmtId="0" fontId="7" fillId="7" borderId="13" xfId="0" applyFont="1" applyFill="1" applyBorder="1" applyAlignment="1">
      <alignment wrapText="1"/>
    </xf>
    <xf numFmtId="0" fontId="7" fillId="7" borderId="18" xfId="0" applyFont="1" applyFill="1" applyBorder="1" applyAlignment="1">
      <alignment wrapText="1"/>
    </xf>
    <xf numFmtId="10" fontId="7" fillId="2" borderId="23" xfId="0" applyNumberFormat="1" applyFont="1" applyFill="1" applyBorder="1" applyAlignment="1">
      <alignment/>
    </xf>
    <xf numFmtId="3" fontId="7" fillId="3" borderId="26" xfId="0" applyNumberFormat="1" applyFont="1" applyFill="1" applyBorder="1" applyAlignment="1">
      <alignment/>
    </xf>
    <xf numFmtId="3" fontId="7" fillId="3" borderId="25" xfId="0" applyNumberFormat="1" applyFont="1" applyFill="1" applyBorder="1" applyAlignment="1">
      <alignment/>
    </xf>
    <xf numFmtId="10" fontId="7" fillId="3" borderId="25" xfId="0" applyNumberFormat="1" applyFont="1" applyFill="1" applyBorder="1" applyAlignment="1">
      <alignment/>
    </xf>
    <xf numFmtId="10" fontId="0" fillId="2" borderId="27" xfId="0" applyNumberFormat="1" applyFont="1" applyFill="1" applyBorder="1" applyAlignment="1">
      <alignment/>
    </xf>
    <xf numFmtId="10" fontId="7" fillId="2" borderId="1" xfId="0" applyNumberFormat="1" applyFont="1" applyFill="1" applyBorder="1" applyAlignment="1">
      <alignment/>
    </xf>
    <xf numFmtId="10" fontId="7" fillId="2" borderId="38" xfId="0" applyNumberFormat="1" applyFont="1" applyFill="1" applyBorder="1" applyAlignment="1">
      <alignment horizontal="right" wrapText="1"/>
    </xf>
    <xf numFmtId="0" fontId="7" fillId="2" borderId="18" xfId="0" applyNumberFormat="1" applyFont="1" applyFill="1" applyBorder="1" applyAlignment="1">
      <alignment/>
    </xf>
    <xf numFmtId="0" fontId="7" fillId="2" borderId="13" xfId="0" applyNumberFormat="1" applyFont="1" applyFill="1" applyBorder="1" applyAlignment="1">
      <alignment/>
    </xf>
    <xf numFmtId="10" fontId="0" fillId="2" borderId="32" xfId="0" applyNumberFormat="1" applyFont="1" applyFill="1" applyBorder="1" applyAlignment="1">
      <alignment horizontal="right"/>
    </xf>
    <xf numFmtId="10" fontId="0" fillId="2" borderId="34" xfId="0" applyNumberFormat="1" applyFont="1" applyFill="1" applyBorder="1" applyAlignment="1">
      <alignment/>
    </xf>
    <xf numFmtId="10" fontId="0" fillId="2" borderId="35" xfId="0" applyNumberFormat="1" applyFont="1" applyFill="1" applyBorder="1" applyAlignment="1">
      <alignment/>
    </xf>
    <xf numFmtId="10" fontId="0" fillId="2" borderId="30" xfId="0" applyNumberFormat="1" applyFont="1" applyFill="1" applyBorder="1" applyAlignment="1">
      <alignment/>
    </xf>
    <xf numFmtId="3" fontId="0" fillId="2" borderId="29" xfId="0" applyNumberFormat="1" applyFont="1" applyFill="1" applyBorder="1" applyAlignment="1">
      <alignment/>
    </xf>
    <xf numFmtId="10" fontId="0" fillId="2" borderId="28" xfId="0" applyNumberFormat="1" applyFont="1" applyFill="1" applyBorder="1" applyAlignment="1">
      <alignment/>
    </xf>
    <xf numFmtId="10" fontId="7" fillId="2" borderId="38" xfId="0" applyNumberFormat="1" applyFont="1" applyFill="1" applyBorder="1" applyAlignment="1">
      <alignment/>
    </xf>
    <xf numFmtId="10" fontId="0" fillId="2" borderId="29" xfId="0" applyNumberFormat="1" applyFont="1" applyFill="1" applyBorder="1" applyAlignment="1">
      <alignment/>
    </xf>
    <xf numFmtId="10" fontId="0" fillId="2" borderId="53" xfId="0" applyNumberFormat="1" applyFont="1" applyFill="1" applyBorder="1" applyAlignment="1">
      <alignment horizontal="right" wrapText="1"/>
    </xf>
    <xf numFmtId="10" fontId="7" fillId="2" borderId="54" xfId="0" applyNumberFormat="1" applyFont="1" applyFill="1" applyBorder="1" applyAlignment="1">
      <alignment horizontal="right" wrapText="1"/>
    </xf>
    <xf numFmtId="10" fontId="0" fillId="2" borderId="55" xfId="0" applyNumberFormat="1" applyFont="1" applyFill="1" applyBorder="1" applyAlignment="1">
      <alignment/>
    </xf>
    <xf numFmtId="166" fontId="0" fillId="2" borderId="37" xfId="25" applyNumberFormat="1" applyFont="1" applyFill="1" applyBorder="1" applyAlignment="1">
      <alignment/>
    </xf>
    <xf numFmtId="10" fontId="0" fillId="2" borderId="56" xfId="0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 horizontal="right" wrapText="1"/>
    </xf>
    <xf numFmtId="3" fontId="7" fillId="2" borderId="19" xfId="0" applyNumberFormat="1" applyFont="1" applyFill="1" applyBorder="1" applyAlignment="1">
      <alignment horizontal="right" wrapText="1"/>
    </xf>
    <xf numFmtId="10" fontId="7" fillId="2" borderId="19" xfId="0" applyNumberFormat="1" applyFont="1" applyFill="1" applyBorder="1" applyAlignment="1">
      <alignment horizontal="right" wrapText="1"/>
    </xf>
    <xf numFmtId="3" fontId="7" fillId="2" borderId="19" xfId="0" applyNumberFormat="1" applyFont="1" applyFill="1" applyBorder="1" applyAlignment="1">
      <alignment wrapText="1"/>
    </xf>
    <xf numFmtId="3" fontId="7" fillId="2" borderId="20" xfId="0" applyNumberFormat="1" applyFont="1" applyFill="1" applyBorder="1" applyAlignment="1">
      <alignment/>
    </xf>
    <xf numFmtId="3" fontId="7" fillId="2" borderId="19" xfId="0" applyNumberFormat="1" applyFont="1" applyFill="1" applyBorder="1" applyAlignment="1">
      <alignment/>
    </xf>
    <xf numFmtId="10" fontId="7" fillId="2" borderId="19" xfId="0" applyNumberFormat="1" applyFont="1" applyFill="1" applyBorder="1" applyAlignment="1">
      <alignment/>
    </xf>
    <xf numFmtId="3" fontId="7" fillId="2" borderId="21" xfId="0" applyNumberFormat="1" applyFont="1" applyFill="1" applyBorder="1" applyAlignment="1">
      <alignment/>
    </xf>
    <xf numFmtId="3" fontId="7" fillId="3" borderId="18" xfId="0" applyNumberFormat="1" applyFont="1" applyFill="1" applyBorder="1" applyAlignment="1" quotePrefix="1">
      <alignment horizontal="right"/>
    </xf>
    <xf numFmtId="1" fontId="7" fillId="3" borderId="18" xfId="0" applyNumberFormat="1" applyFont="1" applyFill="1" applyBorder="1" applyAlignment="1">
      <alignment/>
    </xf>
    <xf numFmtId="3" fontId="7" fillId="3" borderId="18" xfId="0" applyNumberFormat="1" applyFont="1" applyFill="1" applyBorder="1" applyAlignment="1">
      <alignment horizontal="left" wrapText="1"/>
    </xf>
    <xf numFmtId="3" fontId="7" fillId="3" borderId="51" xfId="0" applyNumberFormat="1" applyFont="1" applyFill="1" applyBorder="1" applyAlignment="1">
      <alignment/>
    </xf>
    <xf numFmtId="3" fontId="7" fillId="3" borderId="50" xfId="0" applyNumberFormat="1" applyFont="1" applyFill="1" applyBorder="1" applyAlignment="1">
      <alignment/>
    </xf>
    <xf numFmtId="10" fontId="7" fillId="3" borderId="18" xfId="0" applyNumberFormat="1" applyFont="1" applyFill="1" applyBorder="1" applyAlignment="1">
      <alignment/>
    </xf>
    <xf numFmtId="3" fontId="7" fillId="2" borderId="23" xfId="0" applyNumberFormat="1" applyFont="1" applyFill="1" applyBorder="1" applyAlignment="1">
      <alignment/>
    </xf>
    <xf numFmtId="3" fontId="7" fillId="4" borderId="24" xfId="0" applyNumberFormat="1" applyFont="1" applyFill="1" applyBorder="1" applyAlignment="1">
      <alignment horizontal="right"/>
    </xf>
    <xf numFmtId="3" fontId="7" fillId="7" borderId="18" xfId="0" applyNumberFormat="1" applyFont="1" applyFill="1" applyBorder="1" applyAlignment="1" quotePrefix="1">
      <alignment horizontal="right"/>
    </xf>
    <xf numFmtId="3" fontId="0" fillId="4" borderId="13" xfId="0" applyNumberFormat="1" applyFont="1" applyFill="1" applyBorder="1" applyAlignment="1">
      <alignment horizontal="right"/>
    </xf>
    <xf numFmtId="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10" fontId="0" fillId="0" borderId="13" xfId="0" applyNumberFormat="1" applyFont="1" applyBorder="1" applyAlignment="1">
      <alignment wrapText="1"/>
    </xf>
    <xf numFmtId="3" fontId="0" fillId="2" borderId="1" xfId="0" applyNumberFormat="1" applyFont="1" applyFill="1" applyBorder="1" applyAlignment="1">
      <alignment/>
    </xf>
    <xf numFmtId="3" fontId="7" fillId="8" borderId="25" xfId="0" applyNumberFormat="1" applyFont="1" applyFill="1" applyBorder="1" applyAlignment="1">
      <alignment horizontal="right"/>
    </xf>
    <xf numFmtId="1" fontId="7" fillId="8" borderId="25" xfId="0" applyNumberFormat="1" applyFont="1" applyFill="1" applyBorder="1" applyAlignment="1">
      <alignment/>
    </xf>
    <xf numFmtId="3" fontId="7" fillId="8" borderId="25" xfId="0" applyNumberFormat="1" applyFont="1" applyFill="1" applyBorder="1" applyAlignment="1">
      <alignment wrapText="1"/>
    </xf>
    <xf numFmtId="10" fontId="7" fillId="8" borderId="25" xfId="0" applyNumberFormat="1" applyFont="1" applyFill="1" applyBorder="1" applyAlignment="1">
      <alignment wrapText="1"/>
    </xf>
    <xf numFmtId="3" fontId="7" fillId="4" borderId="0" xfId="0" applyNumberFormat="1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Alignment="1">
      <alignment/>
    </xf>
    <xf numFmtId="1" fontId="7" fillId="0" borderId="25" xfId="0" applyNumberFormat="1" applyFont="1" applyBorder="1" applyAlignment="1">
      <alignment/>
    </xf>
    <xf numFmtId="3" fontId="7" fillId="2" borderId="0" xfId="0" applyNumberFormat="1" applyFont="1" applyFill="1" applyBorder="1" applyAlignment="1">
      <alignment/>
    </xf>
    <xf numFmtId="3" fontId="0" fillId="4" borderId="18" xfId="0" applyNumberFormat="1" applyFont="1" applyFill="1" applyBorder="1" applyAlignment="1">
      <alignment horizontal="right"/>
    </xf>
    <xf numFmtId="1" fontId="0" fillId="0" borderId="25" xfId="0" applyNumberFormat="1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7" fillId="3" borderId="23" xfId="0" applyNumberFormat="1" applyFont="1" applyFill="1" applyBorder="1" applyAlignment="1">
      <alignment horizontal="left" wrapText="1"/>
    </xf>
    <xf numFmtId="1" fontId="7" fillId="2" borderId="18" xfId="0" applyNumberFormat="1" applyFont="1" applyFill="1" applyBorder="1" applyAlignment="1">
      <alignment/>
    </xf>
    <xf numFmtId="3" fontId="7" fillId="2" borderId="18" xfId="0" applyNumberFormat="1" applyFont="1" applyFill="1" applyBorder="1" applyAlignment="1">
      <alignment horizontal="left" wrapText="1"/>
    </xf>
    <xf numFmtId="3" fontId="7" fillId="2" borderId="23" xfId="0" applyNumberFormat="1" applyFont="1" applyFill="1" applyBorder="1" applyAlignment="1">
      <alignment horizontal="left" wrapText="1"/>
    </xf>
    <xf numFmtId="1" fontId="0" fillId="2" borderId="18" xfId="0" applyNumberFormat="1" applyFont="1" applyFill="1" applyBorder="1" applyAlignment="1">
      <alignment/>
    </xf>
    <xf numFmtId="3" fontId="0" fillId="2" borderId="18" xfId="0" applyNumberFormat="1" applyFont="1" applyFill="1" applyBorder="1" applyAlignment="1">
      <alignment horizontal="left" wrapText="1"/>
    </xf>
    <xf numFmtId="10" fontId="0" fillId="2" borderId="25" xfId="0" applyNumberFormat="1" applyFont="1" applyFill="1" applyBorder="1" applyAlignment="1">
      <alignment horizontal="right" wrapText="1"/>
    </xf>
    <xf numFmtId="3" fontId="0" fillId="2" borderId="23" xfId="0" applyNumberFormat="1" applyFont="1" applyFill="1" applyBorder="1" applyAlignment="1">
      <alignment horizontal="left" wrapText="1"/>
    </xf>
    <xf numFmtId="3" fontId="0" fillId="0" borderId="13" xfId="0" applyNumberFormat="1" applyFont="1" applyBorder="1" applyAlignment="1">
      <alignment horizontal="right"/>
    </xf>
    <xf numFmtId="1" fontId="7" fillId="0" borderId="18" xfId="0" applyNumberFormat="1" applyFont="1" applyBorder="1" applyAlignment="1">
      <alignment/>
    </xf>
    <xf numFmtId="3" fontId="0" fillId="0" borderId="23" xfId="0" applyNumberFormat="1" applyFont="1" applyBorder="1" applyAlignment="1">
      <alignment wrapText="1"/>
    </xf>
    <xf numFmtId="3" fontId="0" fillId="0" borderId="28" xfId="0" applyNumberFormat="1" applyFont="1" applyBorder="1" applyAlignment="1">
      <alignment wrapText="1"/>
    </xf>
    <xf numFmtId="10" fontId="0" fillId="0" borderId="28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8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/>
    </xf>
    <xf numFmtId="3" fontId="7" fillId="3" borderId="18" xfId="0" applyNumberFormat="1" applyFont="1" applyFill="1" applyBorder="1" applyAlignment="1">
      <alignment/>
    </xf>
    <xf numFmtId="3" fontId="7" fillId="3" borderId="22" xfId="0" applyNumberFormat="1" applyFont="1" applyFill="1" applyBorder="1" applyAlignment="1">
      <alignment/>
    </xf>
    <xf numFmtId="3" fontId="7" fillId="3" borderId="23" xfId="0" applyNumberFormat="1" applyFont="1" applyFill="1" applyBorder="1" applyAlignment="1">
      <alignment/>
    </xf>
    <xf numFmtId="1" fontId="7" fillId="2" borderId="25" xfId="0" applyNumberFormat="1" applyFont="1" applyFill="1" applyBorder="1" applyAlignment="1">
      <alignment/>
    </xf>
    <xf numFmtId="3" fontId="7" fillId="2" borderId="25" xfId="0" applyNumberFormat="1" applyFont="1" applyFill="1" applyBorder="1" applyAlignment="1">
      <alignment/>
    </xf>
    <xf numFmtId="3" fontId="7" fillId="2" borderId="26" xfId="0" applyNumberFormat="1" applyFont="1" applyFill="1" applyBorder="1" applyAlignment="1">
      <alignment/>
    </xf>
    <xf numFmtId="10" fontId="7" fillId="2" borderId="25" xfId="0" applyNumberFormat="1" applyFont="1" applyFill="1" applyBorder="1" applyAlignment="1">
      <alignment/>
    </xf>
    <xf numFmtId="1" fontId="0" fillId="0" borderId="24" xfId="0" applyNumberFormat="1" applyFont="1" applyBorder="1" applyAlignment="1">
      <alignment/>
    </xf>
    <xf numFmtId="3" fontId="0" fillId="0" borderId="47" xfId="0" applyNumberFormat="1" applyFont="1" applyBorder="1" applyAlignment="1">
      <alignment wrapText="1"/>
    </xf>
    <xf numFmtId="3" fontId="7" fillId="0" borderId="1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wrapText="1"/>
    </xf>
    <xf numFmtId="3" fontId="0" fillId="0" borderId="44" xfId="0" applyNumberFormat="1" applyFont="1" applyBorder="1" applyAlignment="1">
      <alignment wrapText="1"/>
    </xf>
    <xf numFmtId="3" fontId="7" fillId="2" borderId="1" xfId="0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>
      <alignment/>
    </xf>
    <xf numFmtId="3" fontId="0" fillId="2" borderId="26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/>
    </xf>
    <xf numFmtId="10" fontId="0" fillId="2" borderId="25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 wrapText="1"/>
    </xf>
    <xf numFmtId="3" fontId="0" fillId="2" borderId="49" xfId="0" applyNumberFormat="1" applyFont="1" applyFill="1" applyBorder="1" applyAlignment="1">
      <alignment/>
    </xf>
    <xf numFmtId="3" fontId="0" fillId="2" borderId="24" xfId="0" applyNumberFormat="1" applyFont="1" applyFill="1" applyBorder="1" applyAlignment="1">
      <alignment/>
    </xf>
    <xf numFmtId="10" fontId="0" fillId="2" borderId="24" xfId="0" applyNumberFormat="1" applyFont="1" applyFill="1" applyBorder="1" applyAlignment="1">
      <alignment/>
    </xf>
    <xf numFmtId="3" fontId="7" fillId="3" borderId="25" xfId="0" applyNumberFormat="1" applyFont="1" applyFill="1" applyBorder="1" applyAlignment="1">
      <alignment horizontal="right"/>
    </xf>
    <xf numFmtId="1" fontId="7" fillId="3" borderId="25" xfId="0" applyNumberFormat="1" applyFont="1" applyFill="1" applyBorder="1" applyAlignment="1">
      <alignment/>
    </xf>
    <xf numFmtId="3" fontId="7" fillId="3" borderId="27" xfId="0" applyNumberFormat="1" applyFont="1" applyFill="1" applyBorder="1" applyAlignment="1">
      <alignment/>
    </xf>
    <xf numFmtId="3" fontId="7" fillId="0" borderId="23" xfId="0" applyNumberFormat="1" applyFont="1" applyBorder="1" applyAlignment="1">
      <alignment/>
    </xf>
    <xf numFmtId="3" fontId="0" fillId="0" borderId="49" xfId="0" applyNumberFormat="1" applyFont="1" applyBorder="1" applyAlignment="1">
      <alignment wrapText="1"/>
    </xf>
    <xf numFmtId="10" fontId="0" fillId="0" borderId="24" xfId="0" applyNumberFormat="1" applyFont="1" applyBorder="1" applyAlignment="1">
      <alignment wrapText="1"/>
    </xf>
    <xf numFmtId="3" fontId="0" fillId="0" borderId="48" xfId="0" applyNumberFormat="1" applyFont="1" applyBorder="1" applyAlignment="1">
      <alignment horizontal="right"/>
    </xf>
    <xf numFmtId="1" fontId="0" fillId="0" borderId="48" xfId="0" applyNumberFormat="1" applyFont="1" applyBorder="1" applyAlignment="1">
      <alignment/>
    </xf>
    <xf numFmtId="3" fontId="0" fillId="0" borderId="48" xfId="0" applyNumberFormat="1" applyFont="1" applyBorder="1" applyAlignment="1">
      <alignment wrapText="1"/>
    </xf>
    <xf numFmtId="10" fontId="0" fillId="0" borderId="48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wrapText="1"/>
    </xf>
    <xf numFmtId="10" fontId="0" fillId="0" borderId="0" xfId="0" applyNumberFormat="1" applyFont="1" applyBorder="1" applyAlignment="1">
      <alignment wrapText="1"/>
    </xf>
    <xf numFmtId="1" fontId="0" fillId="3" borderId="18" xfId="0" applyNumberFormat="1" applyFont="1" applyFill="1" applyBorder="1" applyAlignment="1">
      <alignment/>
    </xf>
    <xf numFmtId="3" fontId="7" fillId="3" borderId="14" xfId="0" applyNumberFormat="1" applyFont="1" applyFill="1" applyBorder="1" applyAlignment="1">
      <alignment wrapText="1"/>
    </xf>
    <xf numFmtId="3" fontId="7" fillId="3" borderId="13" xfId="0" applyNumberFormat="1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3" fontId="7" fillId="0" borderId="20" xfId="0" applyNumberFormat="1" applyFont="1" applyBorder="1" applyAlignment="1">
      <alignment wrapText="1"/>
    </xf>
    <xf numFmtId="3" fontId="7" fillId="0" borderId="19" xfId="0" applyNumberFormat="1" applyFont="1" applyBorder="1" applyAlignment="1">
      <alignment wrapText="1"/>
    </xf>
    <xf numFmtId="10" fontId="7" fillId="0" borderId="19" xfId="0" applyNumberFormat="1" applyFont="1" applyBorder="1" applyAlignment="1">
      <alignment wrapText="1"/>
    </xf>
    <xf numFmtId="0" fontId="0" fillId="3" borderId="18" xfId="0" applyFont="1" applyFill="1" applyBorder="1" applyAlignment="1">
      <alignment/>
    </xf>
    <xf numFmtId="3" fontId="7" fillId="3" borderId="51" xfId="0" applyNumberFormat="1" applyFont="1" applyFill="1" applyBorder="1" applyAlignment="1">
      <alignment wrapText="1"/>
    </xf>
    <xf numFmtId="3" fontId="7" fillId="3" borderId="50" xfId="0" applyNumberFormat="1" applyFont="1" applyFill="1" applyBorder="1" applyAlignment="1">
      <alignment wrapText="1"/>
    </xf>
    <xf numFmtId="10" fontId="7" fillId="3" borderId="13" xfId="0" applyNumberFormat="1" applyFont="1" applyFill="1" applyBorder="1" applyAlignment="1">
      <alignment wrapText="1"/>
    </xf>
    <xf numFmtId="0" fontId="0" fillId="0" borderId="24" xfId="0" applyFont="1" applyBorder="1" applyAlignment="1">
      <alignment horizontal="right"/>
    </xf>
    <xf numFmtId="49" fontId="7" fillId="3" borderId="18" xfId="0" applyNumberFormat="1" applyFont="1" applyFill="1" applyBorder="1" applyAlignment="1">
      <alignment horizontal="right"/>
    </xf>
    <xf numFmtId="3" fontId="7" fillId="3" borderId="23" xfId="0" applyNumberFormat="1" applyFont="1" applyFill="1" applyBorder="1" applyAlignment="1">
      <alignment wrapText="1"/>
    </xf>
    <xf numFmtId="49" fontId="0" fillId="0" borderId="13" xfId="0" applyNumberFormat="1" applyFont="1" applyBorder="1" applyAlignment="1">
      <alignment horizontal="right"/>
    </xf>
    <xf numFmtId="49" fontId="7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 wrapText="1"/>
    </xf>
    <xf numFmtId="3" fontId="7" fillId="0" borderId="23" xfId="0" applyNumberFormat="1" applyFont="1" applyBorder="1" applyAlignment="1">
      <alignment wrapText="1"/>
    </xf>
    <xf numFmtId="49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10" fontId="0" fillId="0" borderId="14" xfId="0" applyNumberFormat="1" applyFont="1" applyBorder="1" applyAlignment="1">
      <alignment wrapText="1"/>
    </xf>
    <xf numFmtId="3" fontId="0" fillId="0" borderId="27" xfId="0" applyNumberFormat="1" applyFont="1" applyBorder="1" applyAlignment="1">
      <alignment wrapText="1"/>
    </xf>
    <xf numFmtId="49" fontId="7" fillId="3" borderId="25" xfId="0" applyNumberFormat="1" applyFont="1" applyFill="1" applyBorder="1" applyAlignment="1">
      <alignment horizontal="right"/>
    </xf>
    <xf numFmtId="49" fontId="7" fillId="3" borderId="25" xfId="0" applyNumberFormat="1" applyFont="1" applyFill="1" applyBorder="1" applyAlignment="1">
      <alignment/>
    </xf>
    <xf numFmtId="49" fontId="7" fillId="0" borderId="13" xfId="0" applyNumberFormat="1" applyFont="1" applyBorder="1" applyAlignment="1">
      <alignment horizontal="right"/>
    </xf>
    <xf numFmtId="49" fontId="7" fillId="0" borderId="25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wrapText="1"/>
    </xf>
    <xf numFmtId="49" fontId="0" fillId="0" borderId="2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3" fontId="0" fillId="2" borderId="37" xfId="0" applyNumberFormat="1" applyFont="1" applyFill="1" applyBorder="1" applyAlignment="1">
      <alignment/>
    </xf>
    <xf numFmtId="3" fontId="0" fillId="2" borderId="36" xfId="0" applyNumberFormat="1" applyFont="1" applyFill="1" applyBorder="1" applyAlignment="1">
      <alignment/>
    </xf>
    <xf numFmtId="10" fontId="0" fillId="2" borderId="36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 wrapText="1"/>
    </xf>
    <xf numFmtId="49" fontId="7" fillId="2" borderId="13" xfId="0" applyNumberFormat="1" applyFont="1" applyFill="1" applyBorder="1" applyAlignment="1">
      <alignment horizontal="right"/>
    </xf>
    <xf numFmtId="49" fontId="0" fillId="0" borderId="18" xfId="0" applyNumberFormat="1" applyFont="1" applyBorder="1" applyAlignment="1">
      <alignment/>
    </xf>
    <xf numFmtId="0" fontId="0" fillId="0" borderId="39" xfId="0" applyFont="1" applyBorder="1" applyAlignment="1">
      <alignment wrapText="1"/>
    </xf>
    <xf numFmtId="3" fontId="7" fillId="2" borderId="23" xfId="0" applyNumberFormat="1" applyFont="1" applyFill="1" applyBorder="1" applyAlignment="1">
      <alignment wrapText="1"/>
    </xf>
    <xf numFmtId="3" fontId="7" fillId="0" borderId="27" xfId="0" applyNumberFormat="1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0" fontId="0" fillId="0" borderId="48" xfId="0" applyFont="1" applyBorder="1" applyAlignment="1">
      <alignment horizontal="left" wrapText="1"/>
    </xf>
    <xf numFmtId="10" fontId="0" fillId="0" borderId="49" xfId="0" applyNumberFormat="1" applyFont="1" applyBorder="1" applyAlignment="1">
      <alignment wrapText="1"/>
    </xf>
    <xf numFmtId="0" fontId="7" fillId="0" borderId="24" xfId="0" applyFont="1" applyBorder="1" applyAlignment="1">
      <alignment/>
    </xf>
    <xf numFmtId="0" fontId="0" fillId="0" borderId="28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10" fontId="0" fillId="0" borderId="26" xfId="0" applyNumberFormat="1" applyFont="1" applyBorder="1" applyAlignment="1">
      <alignment wrapText="1"/>
    </xf>
    <xf numFmtId="0" fontId="7" fillId="4" borderId="18" xfId="0" applyFont="1" applyFill="1" applyBorder="1" applyAlignment="1">
      <alignment wrapText="1"/>
    </xf>
    <xf numFmtId="3" fontId="7" fillId="4" borderId="22" xfId="0" applyNumberFormat="1" applyFont="1" applyFill="1" applyBorder="1" applyAlignment="1">
      <alignment wrapText="1"/>
    </xf>
    <xf numFmtId="3" fontId="7" fillId="4" borderId="18" xfId="0" applyNumberFormat="1" applyFont="1" applyFill="1" applyBorder="1" applyAlignment="1">
      <alignment wrapText="1"/>
    </xf>
    <xf numFmtId="10" fontId="7" fillId="4" borderId="18" xfId="0" applyNumberFormat="1" applyFont="1" applyFill="1" applyBorder="1" applyAlignment="1">
      <alignment wrapText="1"/>
    </xf>
    <xf numFmtId="3" fontId="7" fillId="4" borderId="23" xfId="0" applyNumberFormat="1" applyFont="1" applyFill="1" applyBorder="1" applyAlignment="1">
      <alignment wrapText="1"/>
    </xf>
    <xf numFmtId="0" fontId="0" fillId="4" borderId="18" xfId="0" applyFont="1" applyFill="1" applyBorder="1" applyAlignment="1">
      <alignment wrapText="1"/>
    </xf>
    <xf numFmtId="3" fontId="0" fillId="4" borderId="22" xfId="0" applyNumberFormat="1" applyFont="1" applyFill="1" applyBorder="1" applyAlignment="1">
      <alignment wrapText="1"/>
    </xf>
    <xf numFmtId="3" fontId="0" fillId="4" borderId="18" xfId="0" applyNumberFormat="1" applyFont="1" applyFill="1" applyBorder="1" applyAlignment="1">
      <alignment wrapText="1"/>
    </xf>
    <xf numFmtId="10" fontId="0" fillId="4" borderId="18" xfId="0" applyNumberFormat="1" applyFont="1" applyFill="1" applyBorder="1" applyAlignment="1">
      <alignment wrapText="1"/>
    </xf>
    <xf numFmtId="3" fontId="0" fillId="4" borderId="23" xfId="0" applyNumberFormat="1" applyFont="1" applyFill="1" applyBorder="1" applyAlignment="1">
      <alignment wrapText="1"/>
    </xf>
    <xf numFmtId="3" fontId="0" fillId="0" borderId="37" xfId="0" applyNumberFormat="1" applyFont="1" applyBorder="1" applyAlignment="1">
      <alignment wrapText="1"/>
    </xf>
    <xf numFmtId="3" fontId="0" fillId="0" borderId="36" xfId="0" applyNumberFormat="1" applyFont="1" applyBorder="1" applyAlignment="1">
      <alignment wrapText="1"/>
    </xf>
    <xf numFmtId="10" fontId="0" fillId="0" borderId="37" xfId="0" applyNumberFormat="1" applyFont="1" applyBorder="1" applyAlignment="1">
      <alignment wrapText="1"/>
    </xf>
    <xf numFmtId="3" fontId="0" fillId="0" borderId="22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3" fontId="7" fillId="2" borderId="27" xfId="0" applyNumberFormat="1" applyFont="1" applyFill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42" xfId="0" applyFont="1" applyBorder="1" applyAlignment="1">
      <alignment wrapText="1"/>
    </xf>
    <xf numFmtId="3" fontId="0" fillId="0" borderId="43" xfId="0" applyNumberFormat="1" applyFont="1" applyBorder="1" applyAlignment="1">
      <alignment wrapText="1"/>
    </xf>
    <xf numFmtId="3" fontId="0" fillId="0" borderId="42" xfId="0" applyNumberFormat="1" applyFont="1" applyBorder="1" applyAlignment="1">
      <alignment wrapText="1"/>
    </xf>
    <xf numFmtId="10" fontId="0" fillId="0" borderId="43" xfId="0" applyNumberFormat="1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10" fontId="7" fillId="0" borderId="13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10" fontId="0" fillId="0" borderId="25" xfId="0" applyNumberFormat="1" applyBorder="1" applyAlignment="1">
      <alignment/>
    </xf>
    <xf numFmtId="0" fontId="0" fillId="0" borderId="44" xfId="0" applyBorder="1" applyAlignment="1">
      <alignment/>
    </xf>
    <xf numFmtId="10" fontId="0" fillId="0" borderId="0" xfId="0" applyNumberFormat="1" applyBorder="1" applyAlignment="1">
      <alignment/>
    </xf>
    <xf numFmtId="0" fontId="0" fillId="2" borderId="0" xfId="0" applyFont="1" applyFill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10" fontId="1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10" fontId="4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center" vertical="center"/>
    </xf>
    <xf numFmtId="10" fontId="4" fillId="0" borderId="58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3" fontId="4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0" fontId="4" fillId="3" borderId="25" xfId="0" applyFont="1" applyFill="1" applyBorder="1" applyAlignment="1">
      <alignment horizontal="right"/>
    </xf>
    <xf numFmtId="0" fontId="4" fillId="3" borderId="25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3" fontId="4" fillId="3" borderId="18" xfId="0" applyNumberFormat="1" applyFont="1" applyFill="1" applyBorder="1" applyAlignment="1">
      <alignment/>
    </xf>
    <xf numFmtId="10" fontId="4" fillId="3" borderId="18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25" xfId="0" applyFont="1" applyBorder="1" applyAlignment="1" quotePrefix="1">
      <alignment horizontal="right"/>
    </xf>
    <xf numFmtId="0" fontId="4" fillId="0" borderId="25" xfId="0" applyFont="1" applyBorder="1" applyAlignment="1">
      <alignment/>
    </xf>
    <xf numFmtId="3" fontId="4" fillId="0" borderId="25" xfId="0" applyNumberFormat="1" applyFont="1" applyBorder="1" applyAlignment="1">
      <alignment/>
    </xf>
    <xf numFmtId="10" fontId="4" fillId="0" borderId="25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13" xfId="0" applyFont="1" applyBorder="1" applyAlignment="1">
      <alignment/>
    </xf>
    <xf numFmtId="0" fontId="1" fillId="0" borderId="25" xfId="0" applyFont="1" applyBorder="1" applyAlignment="1">
      <alignment wrapText="1"/>
    </xf>
    <xf numFmtId="3" fontId="1" fillId="0" borderId="25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3" borderId="25" xfId="0" applyFont="1" applyFill="1" applyBorder="1" applyAlignment="1" quotePrefix="1">
      <alignment horizontal="right"/>
    </xf>
    <xf numFmtId="3" fontId="4" fillId="3" borderId="22" xfId="0" applyNumberFormat="1" applyFont="1" applyFill="1" applyBorder="1" applyAlignment="1">
      <alignment/>
    </xf>
    <xf numFmtId="10" fontId="4" fillId="3" borderId="22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10" fontId="4" fillId="0" borderId="26" xfId="0" applyNumberFormat="1" applyFont="1" applyBorder="1" applyAlignment="1">
      <alignment/>
    </xf>
    <xf numFmtId="0" fontId="1" fillId="0" borderId="36" xfId="0" applyFont="1" applyBorder="1" applyAlignment="1">
      <alignment wrapText="1"/>
    </xf>
    <xf numFmtId="3" fontId="1" fillId="0" borderId="2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10" fontId="1" fillId="0" borderId="36" xfId="0" applyNumberFormat="1" applyFont="1" applyBorder="1" applyAlignment="1">
      <alignment/>
    </xf>
    <xf numFmtId="0" fontId="11" fillId="3" borderId="25" xfId="0" applyFont="1" applyFill="1" applyBorder="1" applyAlignment="1">
      <alignment/>
    </xf>
    <xf numFmtId="0" fontId="4" fillId="3" borderId="25" xfId="0" applyFont="1" applyFill="1" applyBorder="1" applyAlignment="1">
      <alignment wrapText="1"/>
    </xf>
    <xf numFmtId="3" fontId="4" fillId="3" borderId="25" xfId="0" applyNumberFormat="1" applyFont="1" applyFill="1" applyBorder="1" applyAlignment="1">
      <alignment/>
    </xf>
    <xf numFmtId="10" fontId="4" fillId="3" borderId="25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8" xfId="0" applyFont="1" applyBorder="1" applyAlignment="1">
      <alignment/>
    </xf>
    <xf numFmtId="10" fontId="1" fillId="0" borderId="28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10" fontId="1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10" fontId="4" fillId="0" borderId="18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1" xfId="0" applyFont="1" applyBorder="1" applyAlignment="1">
      <alignment/>
    </xf>
    <xf numFmtId="3" fontId="1" fillId="0" borderId="31" xfId="0" applyNumberFormat="1" applyFont="1" applyBorder="1" applyAlignment="1">
      <alignment/>
    </xf>
    <xf numFmtId="10" fontId="1" fillId="0" borderId="3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0" fontId="1" fillId="0" borderId="13" xfId="0" applyNumberFormat="1" applyFont="1" applyBorder="1" applyAlignment="1">
      <alignment/>
    </xf>
    <xf numFmtId="0" fontId="9" fillId="0" borderId="18" xfId="0" applyFont="1" applyBorder="1" applyAlignment="1">
      <alignment/>
    </xf>
    <xf numFmtId="3" fontId="9" fillId="0" borderId="18" xfId="0" applyNumberFormat="1" applyFont="1" applyBorder="1" applyAlignment="1">
      <alignment/>
    </xf>
    <xf numFmtId="10" fontId="9" fillId="0" borderId="18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3" fontId="1" fillId="0" borderId="39" xfId="0" applyNumberFormat="1" applyFont="1" applyBorder="1" applyAlignment="1">
      <alignment/>
    </xf>
    <xf numFmtId="10" fontId="1" fillId="0" borderId="39" xfId="0" applyNumberFormat="1" applyFont="1" applyBorder="1" applyAlignment="1">
      <alignment/>
    </xf>
    <xf numFmtId="0" fontId="4" fillId="0" borderId="18" xfId="0" applyFont="1" applyBorder="1" applyAlignment="1">
      <alignment vertical="top"/>
    </xf>
    <xf numFmtId="3" fontId="1" fillId="0" borderId="24" xfId="0" applyNumberFormat="1" applyFont="1" applyBorder="1" applyAlignment="1">
      <alignment/>
    </xf>
    <xf numFmtId="10" fontId="1" fillId="0" borderId="24" xfId="0" applyNumberFormat="1" applyFont="1" applyBorder="1" applyAlignment="1">
      <alignment/>
    </xf>
    <xf numFmtId="0" fontId="9" fillId="0" borderId="36" xfId="0" applyFont="1" applyBorder="1" applyAlignment="1">
      <alignment/>
    </xf>
    <xf numFmtId="3" fontId="9" fillId="0" borderId="36" xfId="0" applyNumberFormat="1" applyFont="1" applyBorder="1" applyAlignment="1">
      <alignment/>
    </xf>
    <xf numFmtId="10" fontId="9" fillId="0" borderId="36" xfId="0" applyNumberFormat="1" applyFont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18" xfId="0" applyFont="1" applyFill="1" applyBorder="1" applyAlignment="1">
      <alignment wrapText="1"/>
    </xf>
    <xf numFmtId="0" fontId="1" fillId="0" borderId="22" xfId="0" applyFont="1" applyBorder="1" applyAlignment="1">
      <alignment/>
    </xf>
    <xf numFmtId="0" fontId="4" fillId="0" borderId="25" xfId="0" applyFont="1" applyBorder="1" applyAlignment="1">
      <alignment vertical="top"/>
    </xf>
    <xf numFmtId="0" fontId="4" fillId="0" borderId="25" xfId="0" applyFont="1" applyBorder="1" applyAlignment="1">
      <alignment wrapText="1"/>
    </xf>
    <xf numFmtId="0" fontId="1" fillId="0" borderId="48" xfId="0" applyFont="1" applyBorder="1" applyAlignment="1">
      <alignment/>
    </xf>
    <xf numFmtId="0" fontId="1" fillId="0" borderId="48" xfId="0" applyFont="1" applyBorder="1" applyAlignment="1">
      <alignment wrapText="1"/>
    </xf>
    <xf numFmtId="3" fontId="1" fillId="0" borderId="48" xfId="0" applyNumberFormat="1" applyFont="1" applyBorder="1" applyAlignment="1">
      <alignment/>
    </xf>
    <xf numFmtId="10" fontId="1" fillId="0" borderId="48" xfId="0" applyNumberFormat="1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1" xfId="0" applyFont="1" applyBorder="1" applyAlignment="1">
      <alignment wrapText="1"/>
    </xf>
    <xf numFmtId="0" fontId="1" fillId="0" borderId="42" xfId="0" applyFont="1" applyBorder="1" applyAlignment="1">
      <alignment wrapText="1"/>
    </xf>
    <xf numFmtId="3" fontId="1" fillId="0" borderId="42" xfId="0" applyNumberFormat="1" applyFont="1" applyBorder="1" applyAlignment="1">
      <alignment/>
    </xf>
    <xf numFmtId="10" fontId="1" fillId="0" borderId="42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2" xfId="0" applyFont="1" applyBorder="1" applyAlignment="1">
      <alignment vertical="top" wrapText="1"/>
    </xf>
    <xf numFmtId="0" fontId="1" fillId="0" borderId="48" xfId="0" applyFont="1" applyBorder="1" applyAlignment="1">
      <alignment vertical="top" wrapText="1"/>
    </xf>
    <xf numFmtId="0" fontId="4" fillId="0" borderId="24" xfId="0" applyFont="1" applyBorder="1" applyAlignment="1">
      <alignment/>
    </xf>
    <xf numFmtId="0" fontId="1" fillId="0" borderId="59" xfId="0" applyFont="1" applyBorder="1" applyAlignment="1">
      <alignment/>
    </xf>
    <xf numFmtId="3" fontId="1" fillId="0" borderId="59" xfId="0" applyNumberFormat="1" applyFont="1" applyBorder="1" applyAlignment="1">
      <alignment/>
    </xf>
    <xf numFmtId="10" fontId="1" fillId="0" borderId="59" xfId="0" applyNumberFormat="1" applyFont="1" applyBorder="1" applyAlignment="1">
      <alignment/>
    </xf>
    <xf numFmtId="0" fontId="1" fillId="0" borderId="60" xfId="0" applyFont="1" applyBorder="1" applyAlignment="1">
      <alignment/>
    </xf>
    <xf numFmtId="3" fontId="1" fillId="0" borderId="60" xfId="0" applyNumberFormat="1" applyFont="1" applyBorder="1" applyAlignment="1">
      <alignment/>
    </xf>
    <xf numFmtId="10" fontId="1" fillId="0" borderId="60" xfId="0" applyNumberFormat="1" applyFont="1" applyBorder="1" applyAlignment="1">
      <alignment/>
    </xf>
    <xf numFmtId="0" fontId="1" fillId="0" borderId="61" xfId="0" applyFont="1" applyBorder="1" applyAlignment="1">
      <alignment wrapText="1"/>
    </xf>
    <xf numFmtId="3" fontId="1" fillId="0" borderId="61" xfId="0" applyNumberFormat="1" applyFont="1" applyBorder="1" applyAlignment="1">
      <alignment/>
    </xf>
    <xf numFmtId="10" fontId="1" fillId="0" borderId="61" xfId="0" applyNumberFormat="1" applyFont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10" fontId="4" fillId="2" borderId="18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4" fillId="2" borderId="24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3" fontId="1" fillId="2" borderId="28" xfId="0" applyNumberFormat="1" applyFont="1" applyFill="1" applyBorder="1" applyAlignment="1">
      <alignment/>
    </xf>
    <xf numFmtId="10" fontId="1" fillId="2" borderId="28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13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3" fontId="1" fillId="2" borderId="31" xfId="0" applyNumberFormat="1" applyFont="1" applyFill="1" applyBorder="1" applyAlignment="1">
      <alignment/>
    </xf>
    <xf numFmtId="10" fontId="1" fillId="2" borderId="31" xfId="0" applyNumberFormat="1" applyFont="1" applyFill="1" applyBorder="1" applyAlignment="1">
      <alignment/>
    </xf>
    <xf numFmtId="0" fontId="1" fillId="2" borderId="36" xfId="0" applyFont="1" applyFill="1" applyBorder="1" applyAlignment="1">
      <alignment/>
    </xf>
    <xf numFmtId="3" fontId="1" fillId="2" borderId="36" xfId="0" applyNumberFormat="1" applyFont="1" applyFill="1" applyBorder="1" applyAlignment="1">
      <alignment/>
    </xf>
    <xf numFmtId="10" fontId="1" fillId="2" borderId="36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10" fontId="1" fillId="2" borderId="13" xfId="0" applyNumberFormat="1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39" xfId="0" applyFont="1" applyFill="1" applyBorder="1" applyAlignment="1">
      <alignment/>
    </xf>
    <xf numFmtId="3" fontId="1" fillId="2" borderId="39" xfId="0" applyNumberFormat="1" applyFont="1" applyFill="1" applyBorder="1" applyAlignment="1">
      <alignment/>
    </xf>
    <xf numFmtId="10" fontId="1" fillId="2" borderId="39" xfId="0" applyNumberFormat="1" applyFont="1" applyFill="1" applyBorder="1" applyAlignment="1">
      <alignment/>
    </xf>
    <xf numFmtId="0" fontId="1" fillId="2" borderId="31" xfId="0" applyFont="1" applyFill="1" applyBorder="1" applyAlignment="1">
      <alignment wrapText="1"/>
    </xf>
    <xf numFmtId="0" fontId="9" fillId="0" borderId="42" xfId="0" applyFont="1" applyBorder="1" applyAlignment="1">
      <alignment/>
    </xf>
    <xf numFmtId="3" fontId="9" fillId="0" borderId="42" xfId="0" applyNumberFormat="1" applyFont="1" applyBorder="1" applyAlignment="1">
      <alignment/>
    </xf>
    <xf numFmtId="10" fontId="9" fillId="0" borderId="4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9" fillId="0" borderId="62" xfId="0" applyFont="1" applyBorder="1" applyAlignment="1">
      <alignment/>
    </xf>
    <xf numFmtId="3" fontId="9" fillId="0" borderId="62" xfId="0" applyNumberFormat="1" applyFont="1" applyBorder="1" applyAlignment="1">
      <alignment/>
    </xf>
    <xf numFmtId="10" fontId="9" fillId="0" borderId="63" xfId="0" applyNumberFormat="1" applyFont="1" applyBorder="1" applyAlignment="1">
      <alignment/>
    </xf>
    <xf numFmtId="0" fontId="4" fillId="0" borderId="19" xfId="0" applyFont="1" applyBorder="1" applyAlignment="1">
      <alignment vertical="center" wrapText="1"/>
    </xf>
    <xf numFmtId="3" fontId="4" fillId="0" borderId="19" xfId="0" applyNumberFormat="1" applyFont="1" applyBorder="1" applyAlignment="1">
      <alignment/>
    </xf>
    <xf numFmtId="10" fontId="4" fillId="0" borderId="19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 wrapText="1"/>
    </xf>
    <xf numFmtId="10" fontId="4" fillId="3" borderId="25" xfId="0" applyNumberFormat="1" applyFont="1" applyFill="1" applyBorder="1" applyAlignment="1">
      <alignment wrapText="1"/>
    </xf>
    <xf numFmtId="0" fontId="1" fillId="0" borderId="24" xfId="0" applyFont="1" applyBorder="1" applyAlignment="1">
      <alignment wrapText="1"/>
    </xf>
    <xf numFmtId="3" fontId="4" fillId="3" borderId="25" xfId="0" applyNumberFormat="1" applyFont="1" applyFill="1" applyBorder="1" applyAlignment="1">
      <alignment wrapText="1"/>
    </xf>
    <xf numFmtId="10" fontId="4" fillId="3" borderId="18" xfId="0" applyNumberFormat="1" applyFont="1" applyFill="1" applyBorder="1" applyAlignment="1">
      <alignment wrapText="1"/>
    </xf>
    <xf numFmtId="0" fontId="1" fillId="2" borderId="39" xfId="0" applyFont="1" applyFill="1" applyBorder="1" applyAlignment="1">
      <alignment wrapText="1"/>
    </xf>
    <xf numFmtId="0" fontId="4" fillId="0" borderId="19" xfId="0" applyFont="1" applyBorder="1" applyAlignment="1">
      <alignment/>
    </xf>
    <xf numFmtId="0" fontId="11" fillId="0" borderId="18" xfId="0" applyFont="1" applyBorder="1" applyAlignment="1">
      <alignment/>
    </xf>
    <xf numFmtId="3" fontId="11" fillId="0" borderId="18" xfId="0" applyNumberFormat="1" applyFont="1" applyBorder="1" applyAlignment="1">
      <alignment/>
    </xf>
    <xf numFmtId="10" fontId="11" fillId="0" borderId="18" xfId="0" applyNumberFormat="1" applyFont="1" applyBorder="1" applyAlignment="1">
      <alignment/>
    </xf>
    <xf numFmtId="0" fontId="1" fillId="2" borderId="24" xfId="0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10" fontId="1" fillId="2" borderId="18" xfId="0" applyNumberFormat="1" applyFont="1" applyFill="1" applyBorder="1" applyAlignment="1">
      <alignment/>
    </xf>
    <xf numFmtId="0" fontId="4" fillId="3" borderId="25" xfId="0" applyFont="1" applyFill="1" applyBorder="1" applyAlignment="1">
      <alignment vertical="top"/>
    </xf>
    <xf numFmtId="0" fontId="1" fillId="0" borderId="64" xfId="0" applyFont="1" applyBorder="1" applyAlignment="1">
      <alignment wrapText="1"/>
    </xf>
    <xf numFmtId="3" fontId="1" fillId="0" borderId="64" xfId="0" applyNumberFormat="1" applyFont="1" applyBorder="1" applyAlignment="1">
      <alignment/>
    </xf>
    <xf numFmtId="10" fontId="1" fillId="0" borderId="64" xfId="0" applyNumberFormat="1" applyFont="1" applyBorder="1" applyAlignment="1">
      <alignment/>
    </xf>
    <xf numFmtId="0" fontId="1" fillId="0" borderId="65" xfId="0" applyFont="1" applyBorder="1" applyAlignment="1">
      <alignment/>
    </xf>
    <xf numFmtId="3" fontId="1" fillId="0" borderId="65" xfId="0" applyNumberFormat="1" applyFont="1" applyBorder="1" applyAlignment="1">
      <alignment/>
    </xf>
    <xf numFmtId="10" fontId="1" fillId="0" borderId="65" xfId="0" applyNumberFormat="1" applyFont="1" applyBorder="1" applyAlignment="1">
      <alignment/>
    </xf>
    <xf numFmtId="0" fontId="1" fillId="0" borderId="66" xfId="0" applyFont="1" applyBorder="1" applyAlignment="1">
      <alignment wrapText="1"/>
    </xf>
    <xf numFmtId="3" fontId="1" fillId="0" borderId="66" xfId="0" applyNumberFormat="1" applyFont="1" applyBorder="1" applyAlignment="1">
      <alignment/>
    </xf>
    <xf numFmtId="10" fontId="1" fillId="0" borderId="66" xfId="0" applyNumberFormat="1" applyFont="1" applyBorder="1" applyAlignment="1">
      <alignment/>
    </xf>
    <xf numFmtId="0" fontId="1" fillId="0" borderId="67" xfId="0" applyFont="1" applyBorder="1" applyAlignment="1">
      <alignment wrapText="1"/>
    </xf>
    <xf numFmtId="3" fontId="1" fillId="0" borderId="67" xfId="0" applyNumberFormat="1" applyFont="1" applyBorder="1" applyAlignment="1">
      <alignment/>
    </xf>
    <xf numFmtId="10" fontId="1" fillId="0" borderId="67" xfId="0" applyNumberFormat="1" applyFont="1" applyBorder="1" applyAlignment="1">
      <alignment/>
    </xf>
    <xf numFmtId="10" fontId="1" fillId="0" borderId="68" xfId="0" applyNumberFormat="1" applyFont="1" applyBorder="1" applyAlignment="1">
      <alignment/>
    </xf>
    <xf numFmtId="49" fontId="4" fillId="3" borderId="25" xfId="0" applyNumberFormat="1" applyFont="1" applyFill="1" applyBorder="1" applyAlignment="1">
      <alignment horizontal="right"/>
    </xf>
    <xf numFmtId="0" fontId="1" fillId="0" borderId="28" xfId="0" applyFont="1" applyBorder="1" applyAlignment="1">
      <alignment vertical="top" wrapText="1"/>
    </xf>
    <xf numFmtId="0" fontId="11" fillId="0" borderId="18" xfId="0" applyFont="1" applyBorder="1" applyAlignment="1">
      <alignment wrapText="1"/>
    </xf>
    <xf numFmtId="49" fontId="4" fillId="3" borderId="18" xfId="0" applyNumberFormat="1" applyFont="1" applyFill="1" applyBorder="1" applyAlignment="1">
      <alignment horizontal="right"/>
    </xf>
    <xf numFmtId="49" fontId="4" fillId="0" borderId="25" xfId="0" applyNumberFormat="1" applyFont="1" applyBorder="1" applyAlignment="1">
      <alignment horizontal="right"/>
    </xf>
    <xf numFmtId="0" fontId="4" fillId="2" borderId="25" xfId="0" applyFont="1" applyFill="1" applyBorder="1" applyAlignment="1">
      <alignment/>
    </xf>
    <xf numFmtId="0" fontId="1" fillId="2" borderId="18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0" fontId="1" fillId="2" borderId="28" xfId="0" applyFont="1" applyFill="1" applyBorder="1" applyAlignment="1">
      <alignment wrapText="1"/>
    </xf>
    <xf numFmtId="0" fontId="1" fillId="2" borderId="48" xfId="0" applyFont="1" applyFill="1" applyBorder="1" applyAlignment="1">
      <alignment wrapText="1"/>
    </xf>
    <xf numFmtId="0" fontId="1" fillId="0" borderId="39" xfId="0" applyFont="1" applyBorder="1" applyAlignment="1">
      <alignment vertical="top" wrapText="1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4" fillId="3" borderId="23" xfId="0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/>
    </xf>
    <xf numFmtId="3" fontId="3" fillId="3" borderId="5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left" wrapText="1"/>
    </xf>
    <xf numFmtId="3" fontId="4" fillId="0" borderId="25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3" fontId="1" fillId="0" borderId="25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48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0" borderId="0" xfId="0" applyFont="1" applyAlignment="1">
      <alignment/>
    </xf>
    <xf numFmtId="1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70" xfId="0" applyFont="1" applyBorder="1" applyAlignment="1">
      <alignment/>
    </xf>
    <xf numFmtId="0" fontId="7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3" xfId="0" applyFont="1" applyBorder="1" applyAlignment="1">
      <alignment/>
    </xf>
    <xf numFmtId="0" fontId="1" fillId="0" borderId="0" xfId="0" applyFont="1" applyAlignment="1">
      <alignment/>
    </xf>
    <xf numFmtId="1" fontId="7" fillId="0" borderId="57" xfId="0" applyNumberFormat="1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1" fontId="7" fillId="0" borderId="57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1" fontId="0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7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3" fillId="0" borderId="9" xfId="0" applyNumberFormat="1" applyFont="1" applyBorder="1" applyAlignment="1">
      <alignment/>
    </xf>
    <xf numFmtId="3" fontId="3" fillId="0" borderId="77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3" fontId="3" fillId="0" borderId="78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10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10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" fontId="4" fillId="3" borderId="25" xfId="0" applyNumberFormat="1" applyFont="1" applyFill="1" applyBorder="1" applyAlignment="1">
      <alignment/>
    </xf>
    <xf numFmtId="3" fontId="4" fillId="3" borderId="23" xfId="0" applyNumberFormat="1" applyFont="1" applyFill="1" applyBorder="1" applyAlignment="1">
      <alignment/>
    </xf>
    <xf numFmtId="3" fontId="4" fillId="3" borderId="18" xfId="0" applyNumberFormat="1" applyFont="1" applyFill="1" applyBorder="1" applyAlignment="1">
      <alignment/>
    </xf>
    <xf numFmtId="3" fontId="4" fillId="3" borderId="22" xfId="0" applyNumberFormat="1" applyFont="1" applyFill="1" applyBorder="1" applyAlignment="1">
      <alignment/>
    </xf>
    <xf numFmtId="3" fontId="4" fillId="3" borderId="83" xfId="0" applyNumberFormat="1" applyFont="1" applyFill="1" applyBorder="1" applyAlignment="1">
      <alignment/>
    </xf>
    <xf numFmtId="10" fontId="4" fillId="3" borderId="18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1" fontId="4" fillId="0" borderId="13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3" fontId="4" fillId="0" borderId="27" xfId="0" applyNumberFormat="1" applyFont="1" applyBorder="1" applyAlignment="1">
      <alignment wrapText="1"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84" xfId="0" applyNumberFormat="1" applyFont="1" applyBorder="1" applyAlignment="1">
      <alignment/>
    </xf>
    <xf numFmtId="10" fontId="4" fillId="0" borderId="25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10" fontId="1" fillId="0" borderId="28" xfId="0" applyNumberFormat="1" applyFont="1" applyBorder="1" applyAlignment="1">
      <alignment/>
    </xf>
    <xf numFmtId="10" fontId="4" fillId="0" borderId="28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10" fontId="1" fillId="0" borderId="36" xfId="0" applyNumberFormat="1" applyFont="1" applyBorder="1" applyAlignment="1">
      <alignment/>
    </xf>
    <xf numFmtId="3" fontId="1" fillId="0" borderId="55" xfId="0" applyNumberFormat="1" applyFont="1" applyBorder="1" applyAlignment="1">
      <alignment wrapText="1"/>
    </xf>
    <xf numFmtId="3" fontId="1" fillId="0" borderId="32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10" fontId="1" fillId="0" borderId="31" xfId="0" applyNumberFormat="1" applyFont="1" applyBorder="1" applyAlignment="1">
      <alignment/>
    </xf>
    <xf numFmtId="3" fontId="1" fillId="0" borderId="54" xfId="0" applyNumberFormat="1" applyFont="1" applyBorder="1" applyAlignment="1">
      <alignment wrapText="1"/>
    </xf>
    <xf numFmtId="3" fontId="1" fillId="0" borderId="4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10" fontId="1" fillId="0" borderId="42" xfId="0" applyNumberFormat="1" applyFont="1" applyBorder="1" applyAlignment="1">
      <alignment/>
    </xf>
    <xf numFmtId="3" fontId="1" fillId="0" borderId="86" xfId="0" applyNumberFormat="1" applyFont="1" applyBorder="1" applyAlignment="1">
      <alignment/>
    </xf>
    <xf numFmtId="3" fontId="1" fillId="0" borderId="1" xfId="0" applyNumberFormat="1" applyFont="1" applyBorder="1" applyAlignment="1">
      <alignment wrapText="1"/>
    </xf>
    <xf numFmtId="3" fontId="1" fillId="0" borderId="8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3" fontId="1" fillId="0" borderId="23" xfId="0" applyNumberFormat="1" applyFont="1" applyBorder="1" applyAlignment="1">
      <alignment wrapText="1"/>
    </xf>
    <xf numFmtId="3" fontId="1" fillId="0" borderId="1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83" xfId="0" applyNumberFormat="1" applyFont="1" applyBorder="1" applyAlignment="1">
      <alignment/>
    </xf>
    <xf numFmtId="10" fontId="1" fillId="0" borderId="18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3" fontId="1" fillId="0" borderId="47" xfId="0" applyNumberFormat="1" applyFont="1" applyBorder="1" applyAlignment="1">
      <alignment wrapText="1"/>
    </xf>
    <xf numFmtId="3" fontId="1" fillId="0" borderId="88" xfId="0" applyNumberFormat="1" applyFont="1" applyBorder="1" applyAlignment="1">
      <alignment/>
    </xf>
    <xf numFmtId="3" fontId="1" fillId="0" borderId="89" xfId="0" applyNumberFormat="1" applyFont="1" applyBorder="1" applyAlignment="1">
      <alignment/>
    </xf>
    <xf numFmtId="3" fontId="1" fillId="0" borderId="38" xfId="0" applyNumberFormat="1" applyFont="1" applyBorder="1" applyAlignment="1">
      <alignment wrapText="1"/>
    </xf>
    <xf numFmtId="3" fontId="1" fillId="0" borderId="3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10" fontId="1" fillId="0" borderId="36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10" fontId="1" fillId="0" borderId="3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0" fontId="1" fillId="0" borderId="13" xfId="0" applyNumberFormat="1" applyFont="1" applyBorder="1" applyAlignment="1">
      <alignment/>
    </xf>
    <xf numFmtId="3" fontId="1" fillId="0" borderId="90" xfId="0" applyNumberFormat="1" applyFont="1" applyBorder="1" applyAlignment="1">
      <alignment wrapText="1"/>
    </xf>
    <xf numFmtId="3" fontId="1" fillId="0" borderId="40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90" xfId="0" applyNumberFormat="1" applyFont="1" applyBorder="1" applyAlignment="1">
      <alignment/>
    </xf>
    <xf numFmtId="10" fontId="1" fillId="0" borderId="39" xfId="0" applyNumberFormat="1" applyFont="1" applyBorder="1" applyAlignment="1">
      <alignment/>
    </xf>
    <xf numFmtId="3" fontId="4" fillId="3" borderId="27" xfId="0" applyNumberFormat="1" applyFont="1" applyFill="1" applyBorder="1" applyAlignment="1">
      <alignment/>
    </xf>
    <xf numFmtId="3" fontId="4" fillId="3" borderId="25" xfId="0" applyNumberFormat="1" applyFont="1" applyFill="1" applyBorder="1" applyAlignment="1">
      <alignment/>
    </xf>
    <xf numFmtId="3" fontId="4" fillId="3" borderId="26" xfId="0" applyNumberFormat="1" applyFont="1" applyFill="1" applyBorder="1" applyAlignment="1">
      <alignment/>
    </xf>
    <xf numFmtId="3" fontId="4" fillId="3" borderId="84" xfId="0" applyNumberFormat="1" applyFont="1" applyFill="1" applyBorder="1" applyAlignment="1">
      <alignment/>
    </xf>
    <xf numFmtId="10" fontId="4" fillId="3" borderId="25" xfId="0" applyNumberFormat="1" applyFont="1" applyFill="1" applyBorder="1" applyAlignment="1">
      <alignment/>
    </xf>
    <xf numFmtId="1" fontId="1" fillId="0" borderId="25" xfId="0" applyNumberFormat="1" applyFont="1" applyBorder="1" applyAlignment="1">
      <alignment/>
    </xf>
    <xf numFmtId="3" fontId="1" fillId="0" borderId="27" xfId="0" applyNumberFormat="1" applyFont="1" applyBorder="1" applyAlignment="1">
      <alignment wrapText="1"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84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1" fontId="4" fillId="3" borderId="25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 wrapText="1"/>
    </xf>
    <xf numFmtId="1" fontId="4" fillId="0" borderId="18" xfId="0" applyNumberFormat="1" applyFont="1" applyBorder="1" applyAlignment="1">
      <alignment vertical="top"/>
    </xf>
    <xf numFmtId="3" fontId="4" fillId="0" borderId="23" xfId="0" applyNumberFormat="1" applyFont="1" applyBorder="1" applyAlignment="1">
      <alignment wrapText="1"/>
    </xf>
    <xf numFmtId="3" fontId="4" fillId="0" borderId="83" xfId="0" applyNumberFormat="1" applyFont="1" applyBorder="1" applyAlignment="1">
      <alignment/>
    </xf>
    <xf numFmtId="10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3" fontId="4" fillId="0" borderId="23" xfId="0" applyNumberFormat="1" applyFont="1" applyBorder="1" applyAlignment="1">
      <alignment wrapText="1"/>
    </xf>
    <xf numFmtId="3" fontId="4" fillId="0" borderId="22" xfId="0" applyNumberFormat="1" applyFont="1" applyBorder="1" applyAlignment="1">
      <alignment/>
    </xf>
    <xf numFmtId="3" fontId="4" fillId="0" borderId="83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4" fillId="3" borderId="18" xfId="0" applyNumberFormat="1" applyFont="1" applyFill="1" applyBorder="1" applyAlignment="1">
      <alignment/>
    </xf>
    <xf numFmtId="1" fontId="4" fillId="3" borderId="18" xfId="0" applyNumberFormat="1" applyFont="1" applyFill="1" applyBorder="1" applyAlignment="1">
      <alignment/>
    </xf>
    <xf numFmtId="3" fontId="4" fillId="3" borderId="23" xfId="0" applyNumberFormat="1" applyFont="1" applyFill="1" applyBorder="1" applyAlignment="1">
      <alignment wrapText="1"/>
    </xf>
    <xf numFmtId="3" fontId="4" fillId="3" borderId="83" xfId="0" applyNumberFormat="1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90" xfId="0" applyNumberFormat="1" applyFont="1" applyBorder="1" applyAlignment="1">
      <alignment/>
    </xf>
    <xf numFmtId="3" fontId="1" fillId="0" borderId="91" xfId="0" applyNumberFormat="1" applyFont="1" applyBorder="1" applyAlignment="1">
      <alignment/>
    </xf>
    <xf numFmtId="10" fontId="1" fillId="0" borderId="39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0" fontId="4" fillId="0" borderId="39" xfId="0" applyNumberFormat="1" applyFont="1" applyBorder="1" applyAlignment="1">
      <alignment/>
    </xf>
    <xf numFmtId="3" fontId="4" fillId="0" borderId="18" xfId="0" applyNumberFormat="1" applyFont="1" applyBorder="1" applyAlignment="1">
      <alignment wrapText="1"/>
    </xf>
    <xf numFmtId="3" fontId="1" fillId="0" borderId="41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1" fillId="0" borderId="55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27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" fontId="9" fillId="0" borderId="13" xfId="0" applyNumberFormat="1" applyFont="1" applyBorder="1" applyAlignment="1">
      <alignment/>
    </xf>
    <xf numFmtId="3" fontId="9" fillId="0" borderId="33" xfId="0" applyNumberFormat="1" applyFont="1" applyBorder="1" applyAlignment="1">
      <alignment wrapText="1"/>
    </xf>
    <xf numFmtId="3" fontId="9" fillId="0" borderId="61" xfId="0" applyNumberFormat="1" applyFont="1" applyBorder="1" applyAlignment="1">
      <alignment/>
    </xf>
    <xf numFmtId="3" fontId="9" fillId="0" borderId="93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94" xfId="0" applyNumberFormat="1" applyFont="1" applyBorder="1" applyAlignment="1">
      <alignment/>
    </xf>
    <xf numFmtId="10" fontId="9" fillId="0" borderId="61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" fillId="0" borderId="27" xfId="0" applyFont="1" applyBorder="1" applyAlignment="1">
      <alignment horizontal="left" wrapText="1"/>
    </xf>
    <xf numFmtId="3" fontId="1" fillId="0" borderId="44" xfId="0" applyNumberFormat="1" applyFont="1" applyBorder="1" applyAlignment="1">
      <alignment wrapText="1"/>
    </xf>
    <xf numFmtId="3" fontId="1" fillId="0" borderId="24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10" fontId="1" fillId="0" borderId="24" xfId="0" applyNumberFormat="1" applyFont="1" applyBorder="1" applyAlignment="1">
      <alignment/>
    </xf>
    <xf numFmtId="1" fontId="1" fillId="0" borderId="48" xfId="0" applyNumberFormat="1" applyFont="1" applyBorder="1" applyAlignment="1">
      <alignment/>
    </xf>
    <xf numFmtId="3" fontId="1" fillId="0" borderId="48" xfId="0" applyNumberFormat="1" applyFont="1" applyBorder="1" applyAlignment="1">
      <alignment wrapText="1"/>
    </xf>
    <xf numFmtId="3" fontId="1" fillId="0" borderId="48" xfId="0" applyNumberFormat="1" applyFont="1" applyBorder="1" applyAlignment="1">
      <alignment/>
    </xf>
    <xf numFmtId="10" fontId="1" fillId="0" borderId="48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wrapText="1"/>
    </xf>
    <xf numFmtId="10" fontId="1" fillId="0" borderId="0" xfId="0" applyNumberFormat="1" applyFont="1" applyBorder="1" applyAlignment="1">
      <alignment/>
    </xf>
    <xf numFmtId="0" fontId="4" fillId="0" borderId="21" xfId="0" applyFont="1" applyBorder="1" applyAlignment="1">
      <alignment wrapText="1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1" fontId="4" fillId="3" borderId="18" xfId="0" applyNumberFormat="1" applyFont="1" applyFill="1" applyBorder="1" applyAlignment="1">
      <alignment/>
    </xf>
    <xf numFmtId="0" fontId="4" fillId="3" borderId="23" xfId="0" applyFont="1" applyFill="1" applyBorder="1" applyAlignment="1">
      <alignment wrapText="1"/>
    </xf>
    <xf numFmtId="3" fontId="4" fillId="3" borderId="23" xfId="0" applyNumberFormat="1" applyFont="1" applyFill="1" applyBorder="1" applyAlignment="1">
      <alignment/>
    </xf>
    <xf numFmtId="10" fontId="4" fillId="3" borderId="50" xfId="0" applyNumberFormat="1" applyFont="1" applyFill="1" applyBorder="1" applyAlignment="1">
      <alignment/>
    </xf>
    <xf numFmtId="0" fontId="4" fillId="0" borderId="27" xfId="0" applyFont="1" applyBorder="1" applyAlignment="1">
      <alignment wrapText="1"/>
    </xf>
    <xf numFmtId="3" fontId="4" fillId="0" borderId="25" xfId="0" applyNumberFormat="1" applyFont="1" applyFill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0" fontId="1" fillId="0" borderId="27" xfId="0" applyFont="1" applyBorder="1" applyAlignment="1">
      <alignment wrapText="1"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84" xfId="0" applyNumberFormat="1" applyFont="1" applyBorder="1" applyAlignment="1">
      <alignment/>
    </xf>
    <xf numFmtId="3" fontId="4" fillId="0" borderId="27" xfId="0" applyNumberFormat="1" applyFont="1" applyBorder="1" applyAlignment="1">
      <alignment wrapText="1"/>
    </xf>
    <xf numFmtId="1" fontId="11" fillId="0" borderId="13" xfId="0" applyNumberFormat="1" applyFont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81" xfId="0" applyNumberFormat="1" applyFont="1" applyBorder="1" applyAlignment="1">
      <alignment/>
    </xf>
    <xf numFmtId="10" fontId="11" fillId="0" borderId="13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1" fontId="4" fillId="3" borderId="27" xfId="0" applyNumberFormat="1" applyFont="1" applyFill="1" applyBorder="1" applyAlignment="1">
      <alignment/>
    </xf>
    <xf numFmtId="1" fontId="4" fillId="0" borderId="13" xfId="0" applyNumberFormat="1" applyFont="1" applyBorder="1" applyAlignment="1">
      <alignment/>
    </xf>
    <xf numFmtId="3" fontId="1" fillId="0" borderId="1" xfId="0" applyNumberFormat="1" applyFont="1" applyBorder="1" applyAlignment="1">
      <alignment wrapText="1"/>
    </xf>
    <xf numFmtId="3" fontId="1" fillId="0" borderId="1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3" fontId="7" fillId="2" borderId="10" xfId="0" applyNumberFormat="1" applyFont="1" applyFill="1" applyBorder="1" applyAlignment="1">
      <alignment/>
    </xf>
    <xf numFmtId="10" fontId="7" fillId="2" borderId="1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2" borderId="13" xfId="0" applyFont="1" applyFill="1" applyBorder="1" applyAlignment="1">
      <alignment horizontal="left"/>
    </xf>
    <xf numFmtId="3" fontId="7" fillId="2" borderId="13" xfId="0" applyNumberFormat="1" applyFont="1" applyFill="1" applyBorder="1" applyAlignment="1">
      <alignment/>
    </xf>
    <xf numFmtId="10" fontId="7" fillId="2" borderId="13" xfId="0" applyNumberFormat="1" applyFont="1" applyFill="1" applyBorder="1" applyAlignment="1">
      <alignment/>
    </xf>
    <xf numFmtId="0" fontId="10" fillId="0" borderId="19" xfId="0" applyFont="1" applyBorder="1" applyAlignment="1">
      <alignment/>
    </xf>
    <xf numFmtId="0" fontId="8" fillId="2" borderId="19" xfId="0" applyFont="1" applyFill="1" applyBorder="1" applyAlignment="1">
      <alignment horizontal="left"/>
    </xf>
    <xf numFmtId="3" fontId="8" fillId="2" borderId="19" xfId="0" applyNumberFormat="1" applyFont="1" applyFill="1" applyBorder="1" applyAlignment="1">
      <alignment/>
    </xf>
    <xf numFmtId="10" fontId="8" fillId="2" borderId="19" xfId="0" applyNumberFormat="1" applyFont="1" applyFill="1" applyBorder="1" applyAlignment="1">
      <alignment/>
    </xf>
    <xf numFmtId="0" fontId="7" fillId="3" borderId="18" xfId="0" applyFont="1" applyFill="1" applyBorder="1" applyAlignment="1">
      <alignment/>
    </xf>
    <xf numFmtId="3" fontId="7" fillId="3" borderId="18" xfId="0" applyNumberFormat="1" applyFont="1" applyFill="1" applyBorder="1" applyAlignment="1">
      <alignment/>
    </xf>
    <xf numFmtId="10" fontId="7" fillId="3" borderId="18" xfId="0" applyNumberFormat="1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10" fontId="7" fillId="0" borderId="18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0" fontId="0" fillId="0" borderId="25" xfId="0" applyNumberFormat="1" applyFont="1" applyBorder="1" applyAlignment="1">
      <alignment/>
    </xf>
    <xf numFmtId="0" fontId="7" fillId="0" borderId="18" xfId="0" applyFont="1" applyBorder="1" applyAlignment="1">
      <alignment horizontal="left" wrapText="1"/>
    </xf>
    <xf numFmtId="0" fontId="7" fillId="0" borderId="13" xfId="0" applyFont="1" applyBorder="1" applyAlignment="1">
      <alignment/>
    </xf>
    <xf numFmtId="0" fontId="10" fillId="0" borderId="64" xfId="0" applyFont="1" applyBorder="1" applyAlignment="1">
      <alignment wrapText="1"/>
    </xf>
    <xf numFmtId="3" fontId="10" fillId="0" borderId="64" xfId="0" applyNumberFormat="1" applyFont="1" applyBorder="1" applyAlignment="1">
      <alignment/>
    </xf>
    <xf numFmtId="10" fontId="10" fillId="0" borderId="96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10" fillId="0" borderId="64" xfId="0" applyFont="1" applyBorder="1" applyAlignment="1">
      <alignment/>
    </xf>
    <xf numFmtId="10" fontId="10" fillId="0" borderId="64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10" fontId="0" fillId="0" borderId="36" xfId="0" applyNumberFormat="1" applyFont="1" applyBorder="1" applyAlignment="1">
      <alignment/>
    </xf>
    <xf numFmtId="0" fontId="0" fillId="0" borderId="31" xfId="0" applyFont="1" applyBorder="1" applyAlignment="1">
      <alignment wrapText="1"/>
    </xf>
    <xf numFmtId="3" fontId="0" fillId="0" borderId="31" xfId="0" applyNumberFormat="1" applyFont="1" applyBorder="1" applyAlignment="1">
      <alignment/>
    </xf>
    <xf numFmtId="10" fontId="0" fillId="0" borderId="31" xfId="0" applyNumberFormat="1" applyFont="1" applyBorder="1" applyAlignment="1">
      <alignment/>
    </xf>
    <xf numFmtId="0" fontId="10" fillId="0" borderId="97" xfId="0" applyFont="1" applyBorder="1" applyAlignment="1">
      <alignment wrapText="1"/>
    </xf>
    <xf numFmtId="3" fontId="10" fillId="0" borderId="9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0" fillId="0" borderId="39" xfId="0" applyFont="1" applyBorder="1" applyAlignment="1">
      <alignment wrapText="1"/>
    </xf>
    <xf numFmtId="3" fontId="10" fillId="0" borderId="39" xfId="0" applyNumberFormat="1" applyFont="1" applyBorder="1" applyAlignment="1">
      <alignment/>
    </xf>
    <xf numFmtId="10" fontId="10" fillId="0" borderId="39" xfId="0" applyNumberFormat="1" applyFont="1" applyBorder="1" applyAlignment="1">
      <alignment/>
    </xf>
    <xf numFmtId="0" fontId="10" fillId="0" borderId="48" xfId="0" applyFont="1" applyBorder="1" applyAlignment="1">
      <alignment wrapText="1"/>
    </xf>
    <xf numFmtId="3" fontId="10" fillId="0" borderId="48" xfId="0" applyNumberFormat="1" applyFont="1" applyBorder="1" applyAlignment="1">
      <alignment/>
    </xf>
    <xf numFmtId="10" fontId="10" fillId="0" borderId="48" xfId="0" applyNumberFormat="1" applyFont="1" applyBorder="1" applyAlignment="1">
      <alignment/>
    </xf>
    <xf numFmtId="0" fontId="7" fillId="0" borderId="18" xfId="0" applyFont="1" applyBorder="1" applyAlignment="1">
      <alignment horizontal="center" wrapText="1"/>
    </xf>
    <xf numFmtId="0" fontId="10" fillId="0" borderId="96" xfId="0" applyFont="1" applyBorder="1" applyAlignment="1">
      <alignment wrapText="1"/>
    </xf>
    <xf numFmtId="10" fontId="0" fillId="0" borderId="65" xfId="0" applyNumberFormat="1" applyFont="1" applyBorder="1" applyAlignment="1">
      <alignment/>
    </xf>
    <xf numFmtId="0" fontId="10" fillId="0" borderId="66" xfId="0" applyFont="1" applyBorder="1" applyAlignment="1">
      <alignment wrapText="1"/>
    </xf>
    <xf numFmtId="3" fontId="10" fillId="0" borderId="66" xfId="0" applyNumberFormat="1" applyFont="1" applyBorder="1" applyAlignment="1">
      <alignment/>
    </xf>
    <xf numFmtId="10" fontId="10" fillId="0" borderId="66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13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0" fontId="0" fillId="0" borderId="65" xfId="0" applyFont="1" applyBorder="1" applyAlignment="1">
      <alignment wrapText="1"/>
    </xf>
    <xf numFmtId="3" fontId="0" fillId="0" borderId="65" xfId="0" applyNumberFormat="1" applyFont="1" applyBorder="1" applyAlignment="1">
      <alignment/>
    </xf>
    <xf numFmtId="0" fontId="10" fillId="0" borderId="18" xfId="0" applyFont="1" applyBorder="1" applyAlignment="1">
      <alignment wrapText="1"/>
    </xf>
    <xf numFmtId="3" fontId="10" fillId="0" borderId="18" xfId="0" applyNumberFormat="1" applyFont="1" applyBorder="1" applyAlignment="1">
      <alignment/>
    </xf>
    <xf numFmtId="10" fontId="1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0" fontId="0" fillId="0" borderId="18" xfId="0" applyNumberFormat="1" applyFont="1" applyBorder="1" applyAlignment="1">
      <alignment/>
    </xf>
    <xf numFmtId="10" fontId="7" fillId="2" borderId="18" xfId="0" applyNumberFormat="1" applyFont="1" applyFill="1" applyBorder="1" applyAlignment="1">
      <alignment/>
    </xf>
    <xf numFmtId="0" fontId="0" fillId="0" borderId="18" xfId="0" applyFont="1" applyBorder="1" applyAlignment="1">
      <alignment horizontal="left"/>
    </xf>
    <xf numFmtId="10" fontId="0" fillId="2" borderId="18" xfId="0" applyNumberFormat="1" applyFont="1" applyFill="1" applyBorder="1" applyAlignment="1">
      <alignment/>
    </xf>
    <xf numFmtId="3" fontId="7" fillId="2" borderId="18" xfId="0" applyNumberFormat="1" applyFont="1" applyFill="1" applyBorder="1" applyAlignment="1">
      <alignment/>
    </xf>
    <xf numFmtId="3" fontId="0" fillId="2" borderId="18" xfId="0" applyNumberFormat="1" applyFont="1" applyFill="1" applyBorder="1" applyAlignment="1">
      <alignment/>
    </xf>
    <xf numFmtId="10" fontId="0" fillId="0" borderId="18" xfId="0" applyNumberFormat="1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3" borderId="25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3" fontId="0" fillId="0" borderId="13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0" fontId="7" fillId="0" borderId="25" xfId="0" applyFont="1" applyBorder="1" applyAlignment="1">
      <alignment horizontal="left"/>
    </xf>
    <xf numFmtId="0" fontId="7" fillId="3" borderId="25" xfId="0" applyFont="1" applyFill="1" applyBorder="1" applyAlignment="1">
      <alignment/>
    </xf>
    <xf numFmtId="3" fontId="7" fillId="3" borderId="25" xfId="0" applyNumberFormat="1" applyFont="1" applyFill="1" applyBorder="1" applyAlignment="1">
      <alignment/>
    </xf>
    <xf numFmtId="10" fontId="7" fillId="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96" xfId="0" applyFont="1" applyBorder="1" applyAlignment="1">
      <alignment horizontal="center" wrapText="1"/>
    </xf>
    <xf numFmtId="3" fontId="0" fillId="0" borderId="96" xfId="0" applyNumberFormat="1" applyFont="1" applyBorder="1" applyAlignment="1">
      <alignment/>
    </xf>
    <xf numFmtId="10" fontId="0" fillId="0" borderId="96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31" xfId="0" applyFont="1" applyBorder="1" applyAlignment="1">
      <alignment horizontal="left" wrapText="1"/>
    </xf>
    <xf numFmtId="3" fontId="10" fillId="0" borderId="31" xfId="0" applyNumberFormat="1" applyFont="1" applyBorder="1" applyAlignment="1">
      <alignment/>
    </xf>
    <xf numFmtId="10" fontId="10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0" fillId="0" borderId="18" xfId="0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3" fontId="8" fillId="0" borderId="13" xfId="0" applyNumberFormat="1" applyFont="1" applyBorder="1" applyAlignment="1">
      <alignment/>
    </xf>
    <xf numFmtId="10" fontId="8" fillId="0" borderId="13" xfId="0" applyNumberFormat="1" applyFont="1" applyBorder="1" applyAlignment="1">
      <alignment/>
    </xf>
    <xf numFmtId="10" fontId="7" fillId="3" borderId="25" xfId="0" applyNumberFormat="1" applyFont="1" applyFill="1" applyBorder="1" applyAlignment="1">
      <alignment horizontal="right"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horizontal="left" wrapText="1"/>
    </xf>
    <xf numFmtId="3" fontId="7" fillId="0" borderId="25" xfId="0" applyNumberFormat="1" applyFont="1" applyBorder="1" applyAlignment="1">
      <alignment/>
    </xf>
    <xf numFmtId="10" fontId="7" fillId="0" borderId="25" xfId="0" applyNumberFormat="1" applyFont="1" applyBorder="1" applyAlignment="1">
      <alignment/>
    </xf>
    <xf numFmtId="10" fontId="0" fillId="0" borderId="25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3" fontId="8" fillId="0" borderId="13" xfId="0" applyNumberFormat="1" applyFont="1" applyBorder="1" applyAlignment="1">
      <alignment/>
    </xf>
    <xf numFmtId="10" fontId="8" fillId="0" borderId="13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10" fontId="0" fillId="0" borderId="0" xfId="0" applyNumberFormat="1" applyAlignment="1">
      <alignment/>
    </xf>
    <xf numFmtId="3" fontId="3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10" fontId="0" fillId="0" borderId="0" xfId="0" applyNumberFormat="1" applyAlignment="1">
      <alignment horizontal="centerContinuous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0" fontId="1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3" fontId="18" fillId="0" borderId="98" xfId="0" applyNumberFormat="1" applyFont="1" applyBorder="1" applyAlignment="1">
      <alignment horizontal="centerContinuous" vertical="center"/>
    </xf>
    <xf numFmtId="3" fontId="18" fillId="0" borderId="73" xfId="0" applyNumberFormat="1" applyFont="1" applyBorder="1" applyAlignment="1">
      <alignment horizontal="left" vertical="center"/>
    </xf>
    <xf numFmtId="10" fontId="18" fillId="0" borderId="69" xfId="0" applyNumberFormat="1" applyFont="1" applyBorder="1" applyAlignment="1">
      <alignment horizontal="centerContinuous" vertical="center"/>
    </xf>
    <xf numFmtId="3" fontId="5" fillId="0" borderId="98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8" fillId="0" borderId="99" xfId="0" applyFont="1" applyBorder="1" applyAlignment="1">
      <alignment horizontal="center" wrapText="1"/>
    </xf>
    <xf numFmtId="0" fontId="18" fillId="0" borderId="57" xfId="0" applyFont="1" applyBorder="1" applyAlignment="1">
      <alignment horizontal="center"/>
    </xf>
    <xf numFmtId="3" fontId="18" fillId="0" borderId="69" xfId="0" applyNumberFormat="1" applyFont="1" applyBorder="1" applyAlignment="1">
      <alignment horizontal="center" wrapText="1"/>
    </xf>
    <xf numFmtId="10" fontId="18" fillId="0" borderId="100" xfId="0" applyNumberFormat="1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99" xfId="0" applyFont="1" applyBorder="1" applyAlignment="1">
      <alignment horizontal="center" vertical="top" wrapText="1"/>
    </xf>
    <xf numFmtId="0" fontId="5" fillId="0" borderId="57" xfId="0" applyFont="1" applyBorder="1" applyAlignment="1">
      <alignment vertical="top"/>
    </xf>
    <xf numFmtId="3" fontId="18" fillId="0" borderId="101" xfId="0" applyNumberFormat="1" applyFont="1" applyBorder="1" applyAlignment="1">
      <alignment horizontal="center" vertical="top" wrapText="1"/>
    </xf>
    <xf numFmtId="3" fontId="18" fillId="0" borderId="0" xfId="0" applyNumberFormat="1" applyFont="1" applyAlignment="1">
      <alignment horizontal="center" vertical="top" wrapText="1"/>
    </xf>
    <xf numFmtId="3" fontId="18" fillId="0" borderId="3" xfId="0" applyNumberFormat="1" applyFont="1" applyBorder="1" applyAlignment="1">
      <alignment horizontal="center" vertical="top" wrapText="1"/>
    </xf>
    <xf numFmtId="20" fontId="18" fillId="0" borderId="76" xfId="0" applyNumberFormat="1" applyFont="1" applyBorder="1" applyAlignment="1" quotePrefix="1">
      <alignment horizontal="center" vertical="top"/>
    </xf>
    <xf numFmtId="49" fontId="18" fillId="0" borderId="57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102" xfId="0" applyNumberFormat="1" applyFont="1" applyBorder="1" applyAlignment="1">
      <alignment horizontal="center" vertical="center"/>
    </xf>
    <xf numFmtId="0" fontId="7" fillId="3" borderId="50" xfId="0" applyNumberFormat="1" applyFont="1" applyFill="1" applyBorder="1" applyAlignment="1">
      <alignment horizontal="right" wrapText="1"/>
    </xf>
    <xf numFmtId="0" fontId="7" fillId="3" borderId="27" xfId="0" applyFont="1" applyFill="1" applyBorder="1" applyAlignment="1">
      <alignment horizontal="center" wrapText="1"/>
    </xf>
    <xf numFmtId="3" fontId="4" fillId="3" borderId="25" xfId="0" applyNumberFormat="1" applyFont="1" applyFill="1" applyBorder="1" applyAlignment="1">
      <alignment horizontal="right"/>
    </xf>
    <xf numFmtId="10" fontId="4" fillId="3" borderId="25" xfId="0" applyNumberFormat="1" applyFont="1" applyFill="1" applyBorder="1" applyAlignment="1">
      <alignment horizontal="right"/>
    </xf>
    <xf numFmtId="0" fontId="7" fillId="2" borderId="19" xfId="0" applyNumberFormat="1" applyFont="1" applyFill="1" applyBorder="1" applyAlignment="1">
      <alignment horizontal="right" wrapText="1"/>
    </xf>
    <xf numFmtId="0" fontId="7" fillId="2" borderId="21" xfId="0" applyFont="1" applyFill="1" applyBorder="1" applyAlignment="1">
      <alignment horizontal="center" wrapText="1"/>
    </xf>
    <xf numFmtId="0" fontId="8" fillId="0" borderId="18" xfId="0" applyNumberFormat="1" applyFont="1" applyBorder="1" applyAlignment="1">
      <alignment wrapText="1"/>
    </xf>
    <xf numFmtId="0" fontId="8" fillId="0" borderId="23" xfId="0" applyFont="1" applyBorder="1" applyAlignment="1">
      <alignment horizontal="left" wrapText="1"/>
    </xf>
    <xf numFmtId="3" fontId="8" fillId="0" borderId="18" xfId="0" applyNumberFormat="1" applyFont="1" applyBorder="1" applyAlignment="1">
      <alignment/>
    </xf>
    <xf numFmtId="10" fontId="8" fillId="0" borderId="18" xfId="0" applyNumberFormat="1" applyFont="1" applyBorder="1" applyAlignment="1">
      <alignment/>
    </xf>
    <xf numFmtId="0" fontId="0" fillId="7" borderId="25" xfId="0" applyNumberFormat="1" applyFont="1" applyFill="1" applyBorder="1" applyAlignment="1">
      <alignment wrapText="1"/>
    </xf>
    <xf numFmtId="0" fontId="0" fillId="7" borderId="25" xfId="0" applyFont="1" applyFill="1" applyBorder="1" applyAlignment="1">
      <alignment wrapText="1"/>
    </xf>
    <xf numFmtId="3" fontId="0" fillId="7" borderId="25" xfId="0" applyNumberFormat="1" applyFont="1" applyFill="1" applyBorder="1" applyAlignment="1">
      <alignment/>
    </xf>
    <xf numFmtId="10" fontId="0" fillId="7" borderId="25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0" fillId="7" borderId="13" xfId="0" applyNumberFormat="1" applyFont="1" applyFill="1" applyBorder="1" applyAlignment="1">
      <alignment wrapText="1"/>
    </xf>
    <xf numFmtId="0" fontId="0" fillId="7" borderId="13" xfId="0" applyFont="1" applyFill="1" applyBorder="1" applyAlignment="1">
      <alignment wrapText="1"/>
    </xf>
    <xf numFmtId="3" fontId="0" fillId="7" borderId="1" xfId="0" applyNumberFormat="1" applyFont="1" applyFill="1" applyBorder="1" applyAlignment="1">
      <alignment/>
    </xf>
    <xf numFmtId="3" fontId="0" fillId="7" borderId="13" xfId="0" applyNumberFormat="1" applyFont="1" applyFill="1" applyBorder="1" applyAlignment="1">
      <alignment/>
    </xf>
    <xf numFmtId="10" fontId="0" fillId="7" borderId="13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0" fillId="7" borderId="13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8" xfId="0" applyNumberFormat="1" applyFont="1" applyFill="1" applyBorder="1" applyAlignment="1">
      <alignment wrapText="1"/>
    </xf>
    <xf numFmtId="0" fontId="0" fillId="7" borderId="18" xfId="0" applyFont="1" applyFill="1" applyBorder="1" applyAlignment="1">
      <alignment wrapText="1"/>
    </xf>
    <xf numFmtId="3" fontId="0" fillId="7" borderId="23" xfId="0" applyNumberFormat="1" applyFont="1" applyFill="1" applyBorder="1" applyAlignment="1">
      <alignment/>
    </xf>
    <xf numFmtId="3" fontId="0" fillId="7" borderId="18" xfId="0" applyNumberFormat="1" applyFont="1" applyFill="1" applyBorder="1" applyAlignment="1">
      <alignment/>
    </xf>
    <xf numFmtId="10" fontId="0" fillId="7" borderId="18" xfId="0" applyNumberFormat="1" applyFont="1" applyFill="1" applyBorder="1" applyAlignment="1">
      <alignment/>
    </xf>
    <xf numFmtId="3" fontId="0" fillId="7" borderId="13" xfId="0" applyNumberFormat="1" applyFont="1" applyFill="1" applyBorder="1" applyAlignment="1">
      <alignment wrapText="1"/>
    </xf>
    <xf numFmtId="3" fontId="0" fillId="7" borderId="1" xfId="0" applyNumberFormat="1" applyFont="1" applyFill="1" applyBorder="1" applyAlignment="1">
      <alignment wrapText="1"/>
    </xf>
    <xf numFmtId="3" fontId="0" fillId="7" borderId="23" xfId="0" applyNumberFormat="1" applyFont="1" applyFill="1" applyBorder="1" applyAlignment="1">
      <alignment wrapText="1"/>
    </xf>
    <xf numFmtId="0" fontId="0" fillId="0" borderId="25" xfId="0" applyNumberFormat="1" applyFont="1" applyBorder="1" applyAlignment="1">
      <alignment wrapText="1"/>
    </xf>
    <xf numFmtId="0" fontId="8" fillId="0" borderId="18" xfId="0" applyFont="1" applyBorder="1" applyAlignment="1">
      <alignment horizontal="left" wrapText="1"/>
    </xf>
    <xf numFmtId="3" fontId="8" fillId="0" borderId="23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5" xfId="0" applyFont="1" applyBorder="1" applyAlignment="1">
      <alignment horizontal="left" wrapText="1"/>
    </xf>
    <xf numFmtId="3" fontId="10" fillId="0" borderId="27" xfId="0" applyNumberFormat="1" applyFont="1" applyBorder="1" applyAlignment="1">
      <alignment/>
    </xf>
    <xf numFmtId="10" fontId="10" fillId="0" borderId="18" xfId="0" applyNumberFormat="1" applyFont="1" applyBorder="1" applyAlignment="1">
      <alignment/>
    </xf>
    <xf numFmtId="0" fontId="0" fillId="0" borderId="13" xfId="0" applyBorder="1" applyAlignment="1">
      <alignment/>
    </xf>
    <xf numFmtId="49" fontId="0" fillId="0" borderId="36" xfId="0" applyNumberFormat="1" applyFont="1" applyBorder="1" applyAlignment="1">
      <alignment horizontal="right" wrapText="1"/>
    </xf>
    <xf numFmtId="3" fontId="0" fillId="0" borderId="38" xfId="0" applyNumberFormat="1" applyFont="1" applyBorder="1" applyAlignment="1">
      <alignment/>
    </xf>
    <xf numFmtId="10" fontId="0" fillId="0" borderId="36" xfId="0" applyNumberFormat="1" applyFont="1" applyBorder="1" applyAlignment="1">
      <alignment/>
    </xf>
    <xf numFmtId="49" fontId="0" fillId="0" borderId="31" xfId="0" applyNumberFormat="1" applyFont="1" applyBorder="1" applyAlignment="1">
      <alignment horizontal="right" wrapText="1"/>
    </xf>
    <xf numFmtId="10" fontId="0" fillId="0" borderId="31" xfId="0" applyNumberFormat="1" applyFont="1" applyBorder="1" applyAlignment="1">
      <alignment/>
    </xf>
    <xf numFmtId="0" fontId="0" fillId="0" borderId="55" xfId="0" applyFont="1" applyBorder="1" applyAlignment="1">
      <alignment wrapText="1"/>
    </xf>
    <xf numFmtId="0" fontId="0" fillId="0" borderId="38" xfId="0" applyFont="1" applyBorder="1" applyAlignment="1">
      <alignment wrapText="1"/>
    </xf>
    <xf numFmtId="10" fontId="0" fillId="0" borderId="42" xfId="0" applyNumberFormat="1" applyFont="1" applyBorder="1" applyAlignment="1">
      <alignment/>
    </xf>
    <xf numFmtId="49" fontId="0" fillId="0" borderId="39" xfId="0" applyNumberFormat="1" applyFont="1" applyBorder="1" applyAlignment="1">
      <alignment horizontal="right" wrapText="1"/>
    </xf>
    <xf numFmtId="0" fontId="0" fillId="0" borderId="90" xfId="0" applyFont="1" applyBorder="1" applyAlignment="1">
      <alignment wrapText="1"/>
    </xf>
    <xf numFmtId="3" fontId="0" fillId="0" borderId="39" xfId="0" applyNumberFormat="1" applyFont="1" applyBorder="1" applyAlignment="1">
      <alignment/>
    </xf>
    <xf numFmtId="10" fontId="0" fillId="0" borderId="39" xfId="0" applyNumberFormat="1" applyFont="1" applyBorder="1" applyAlignment="1">
      <alignment/>
    </xf>
    <xf numFmtId="0" fontId="10" fillId="0" borderId="18" xfId="0" applyFont="1" applyBorder="1" applyAlignment="1">
      <alignment/>
    </xf>
    <xf numFmtId="49" fontId="10" fillId="0" borderId="18" xfId="0" applyNumberFormat="1" applyFont="1" applyBorder="1" applyAlignment="1">
      <alignment wrapText="1"/>
    </xf>
    <xf numFmtId="0" fontId="10" fillId="0" borderId="23" xfId="0" applyFont="1" applyBorder="1" applyAlignment="1">
      <alignment wrapText="1"/>
    </xf>
    <xf numFmtId="10" fontId="10" fillId="0" borderId="25" xfId="0" applyNumberFormat="1" applyFont="1" applyBorder="1" applyAlignment="1">
      <alignment/>
    </xf>
    <xf numFmtId="0" fontId="0" fillId="7" borderId="25" xfId="0" applyNumberFormat="1" applyFont="1" applyFill="1" applyBorder="1" applyAlignment="1">
      <alignment horizontal="right"/>
    </xf>
    <xf numFmtId="0" fontId="19" fillId="0" borderId="23" xfId="0" applyFont="1" applyBorder="1" applyAlignment="1">
      <alignment wrapText="1"/>
    </xf>
    <xf numFmtId="3" fontId="8" fillId="0" borderId="27" xfId="0" applyNumberFormat="1" applyFont="1" applyBorder="1" applyAlignment="1">
      <alignment horizontal="left" wrapText="1"/>
    </xf>
    <xf numFmtId="3" fontId="8" fillId="0" borderId="25" xfId="0" applyNumberFormat="1" applyFont="1" applyBorder="1" applyAlignment="1">
      <alignment/>
    </xf>
    <xf numFmtId="10" fontId="8" fillId="0" borderId="25" xfId="0" applyNumberFormat="1" applyFont="1" applyBorder="1" applyAlignment="1">
      <alignment/>
    </xf>
    <xf numFmtId="0" fontId="10" fillId="7" borderId="18" xfId="0" applyFont="1" applyFill="1" applyBorder="1" applyAlignment="1">
      <alignment/>
    </xf>
    <xf numFmtId="0" fontId="10" fillId="7" borderId="25" xfId="0" applyNumberFormat="1" applyFont="1" applyFill="1" applyBorder="1" applyAlignment="1">
      <alignment wrapText="1"/>
    </xf>
    <xf numFmtId="3" fontId="10" fillId="7" borderId="23" xfId="0" applyNumberFormat="1" applyFont="1" applyFill="1" applyBorder="1" applyAlignment="1">
      <alignment horizontal="left" wrapText="1"/>
    </xf>
    <xf numFmtId="3" fontId="10" fillId="7" borderId="18" xfId="0" applyNumberFormat="1" applyFont="1" applyFill="1" applyBorder="1" applyAlignment="1">
      <alignment/>
    </xf>
    <xf numFmtId="10" fontId="10" fillId="7" borderId="18" xfId="0" applyNumberFormat="1" applyFont="1" applyFill="1" applyBorder="1" applyAlignment="1">
      <alignment/>
    </xf>
    <xf numFmtId="0" fontId="0" fillId="7" borderId="25" xfId="0" applyFill="1" applyBorder="1" applyAlignment="1">
      <alignment/>
    </xf>
    <xf numFmtId="3" fontId="0" fillId="7" borderId="23" xfId="0" applyNumberFormat="1" applyFont="1" applyFill="1" applyBorder="1" applyAlignment="1">
      <alignment horizontal="left" wrapText="1"/>
    </xf>
    <xf numFmtId="3" fontId="0" fillId="7" borderId="18" xfId="0" applyNumberFormat="1" applyFont="1" applyFill="1" applyBorder="1" applyAlignment="1">
      <alignment/>
    </xf>
    <xf numFmtId="10" fontId="0" fillId="7" borderId="18" xfId="0" applyNumberFormat="1" applyFont="1" applyFill="1" applyBorder="1" applyAlignment="1">
      <alignment/>
    </xf>
    <xf numFmtId="0" fontId="0" fillId="7" borderId="28" xfId="0" applyNumberFormat="1" applyFont="1" applyFill="1" applyBorder="1" applyAlignment="1">
      <alignment wrapText="1"/>
    </xf>
    <xf numFmtId="0" fontId="0" fillId="7" borderId="47" xfId="0" applyFont="1" applyFill="1" applyBorder="1" applyAlignment="1">
      <alignment wrapText="1"/>
    </xf>
    <xf numFmtId="3" fontId="0" fillId="7" borderId="28" xfId="0" applyNumberFormat="1" applyFont="1" applyFill="1" applyBorder="1" applyAlignment="1">
      <alignment/>
    </xf>
    <xf numFmtId="10" fontId="0" fillId="7" borderId="28" xfId="0" applyNumberFormat="1" applyFont="1" applyFill="1" applyBorder="1" applyAlignment="1">
      <alignment/>
    </xf>
    <xf numFmtId="0" fontId="0" fillId="7" borderId="36" xfId="0" applyNumberFormat="1" applyFont="1" applyFill="1" applyBorder="1" applyAlignment="1">
      <alignment wrapText="1"/>
    </xf>
    <xf numFmtId="0" fontId="0" fillId="7" borderId="38" xfId="0" applyFont="1" applyFill="1" applyBorder="1" applyAlignment="1">
      <alignment wrapText="1"/>
    </xf>
    <xf numFmtId="3" fontId="0" fillId="7" borderId="36" xfId="0" applyNumberFormat="1" applyFont="1" applyFill="1" applyBorder="1" applyAlignment="1">
      <alignment/>
    </xf>
    <xf numFmtId="10" fontId="0" fillId="7" borderId="31" xfId="0" applyNumberFormat="1" applyFont="1" applyFill="1" applyBorder="1" applyAlignment="1">
      <alignment/>
    </xf>
    <xf numFmtId="10" fontId="0" fillId="7" borderId="42" xfId="0" applyNumberFormat="1" applyFont="1" applyFill="1" applyBorder="1" applyAlignment="1">
      <alignment/>
    </xf>
    <xf numFmtId="0" fontId="0" fillId="7" borderId="31" xfId="0" applyNumberFormat="1" applyFont="1" applyFill="1" applyBorder="1" applyAlignment="1">
      <alignment wrapText="1"/>
    </xf>
    <xf numFmtId="0" fontId="0" fillId="7" borderId="55" xfId="0" applyFont="1" applyFill="1" applyBorder="1" applyAlignment="1">
      <alignment wrapText="1"/>
    </xf>
    <xf numFmtId="3" fontId="0" fillId="7" borderId="31" xfId="0" applyNumberFormat="1" applyFont="1" applyFill="1" applyBorder="1" applyAlignment="1">
      <alignment/>
    </xf>
    <xf numFmtId="3" fontId="0" fillId="7" borderId="42" xfId="0" applyNumberFormat="1" applyFont="1" applyFill="1" applyBorder="1" applyAlignment="1">
      <alignment/>
    </xf>
    <xf numFmtId="0" fontId="0" fillId="7" borderId="23" xfId="0" applyFont="1" applyFill="1" applyBorder="1" applyAlignment="1">
      <alignment wrapText="1"/>
    </xf>
    <xf numFmtId="0" fontId="10" fillId="7" borderId="25" xfId="0" applyFont="1" applyFill="1" applyBorder="1" applyAlignment="1">
      <alignment/>
    </xf>
    <xf numFmtId="3" fontId="10" fillId="7" borderId="25" xfId="0" applyNumberFormat="1" applyFont="1" applyFill="1" applyBorder="1" applyAlignment="1">
      <alignment wrapText="1"/>
    </xf>
    <xf numFmtId="0" fontId="10" fillId="7" borderId="25" xfId="0" applyFont="1" applyFill="1" applyBorder="1" applyAlignment="1">
      <alignment wrapText="1"/>
    </xf>
    <xf numFmtId="3" fontId="10" fillId="7" borderId="25" xfId="0" applyNumberFormat="1" applyFont="1" applyFill="1" applyBorder="1" applyAlignment="1">
      <alignment/>
    </xf>
    <xf numFmtId="0" fontId="0" fillId="7" borderId="13" xfId="0" applyFill="1" applyBorder="1" applyAlignment="1">
      <alignment/>
    </xf>
    <xf numFmtId="1" fontId="0" fillId="7" borderId="28" xfId="0" applyNumberFormat="1" applyFont="1" applyFill="1" applyBorder="1" applyAlignment="1">
      <alignment wrapText="1"/>
    </xf>
    <xf numFmtId="0" fontId="0" fillId="7" borderId="28" xfId="0" applyFont="1" applyFill="1" applyBorder="1" applyAlignment="1">
      <alignment wrapText="1"/>
    </xf>
    <xf numFmtId="3" fontId="0" fillId="7" borderId="28" xfId="0" applyNumberFormat="1" applyFont="1" applyFill="1" applyBorder="1" applyAlignment="1">
      <alignment/>
    </xf>
    <xf numFmtId="10" fontId="0" fillId="7" borderId="31" xfId="0" applyNumberFormat="1" applyFont="1" applyFill="1" applyBorder="1" applyAlignment="1">
      <alignment/>
    </xf>
    <xf numFmtId="3" fontId="0" fillId="7" borderId="36" xfId="0" applyNumberFormat="1" applyFont="1" applyFill="1" applyBorder="1" applyAlignment="1">
      <alignment/>
    </xf>
    <xf numFmtId="1" fontId="0" fillId="7" borderId="31" xfId="0" applyNumberFormat="1" applyFont="1" applyFill="1" applyBorder="1" applyAlignment="1">
      <alignment wrapText="1"/>
    </xf>
    <xf numFmtId="0" fontId="0" fillId="7" borderId="31" xfId="0" applyFont="1" applyFill="1" applyBorder="1" applyAlignment="1">
      <alignment wrapText="1"/>
    </xf>
    <xf numFmtId="3" fontId="0" fillId="7" borderId="31" xfId="0" applyNumberFormat="1" applyFont="1" applyFill="1" applyBorder="1" applyAlignment="1">
      <alignment/>
    </xf>
    <xf numFmtId="1" fontId="0" fillId="7" borderId="36" xfId="0" applyNumberFormat="1" applyFont="1" applyFill="1" applyBorder="1" applyAlignment="1">
      <alignment wrapText="1"/>
    </xf>
    <xf numFmtId="0" fontId="0" fillId="7" borderId="36" xfId="0" applyFont="1" applyFill="1" applyBorder="1" applyAlignment="1">
      <alignment wrapText="1"/>
    </xf>
    <xf numFmtId="10" fontId="0" fillId="7" borderId="36" xfId="0" applyNumberFormat="1" applyFont="1" applyFill="1" applyBorder="1" applyAlignment="1">
      <alignment/>
    </xf>
    <xf numFmtId="10" fontId="10" fillId="7" borderId="25" xfId="0" applyNumberFormat="1" applyFont="1" applyFill="1" applyBorder="1" applyAlignment="1">
      <alignment/>
    </xf>
    <xf numFmtId="1" fontId="0" fillId="7" borderId="39" xfId="0" applyNumberFormat="1" applyFont="1" applyFill="1" applyBorder="1" applyAlignment="1">
      <alignment wrapText="1"/>
    </xf>
    <xf numFmtId="0" fontId="0" fillId="7" borderId="90" xfId="0" applyFont="1" applyFill="1" applyBorder="1" applyAlignment="1">
      <alignment wrapText="1"/>
    </xf>
    <xf numFmtId="3" fontId="0" fillId="7" borderId="39" xfId="0" applyNumberFormat="1" applyFont="1" applyFill="1" applyBorder="1" applyAlignment="1">
      <alignment/>
    </xf>
    <xf numFmtId="10" fontId="0" fillId="7" borderId="39" xfId="0" applyNumberFormat="1" applyFont="1" applyFill="1" applyBorder="1" applyAlignment="1">
      <alignment/>
    </xf>
    <xf numFmtId="3" fontId="7" fillId="7" borderId="19" xfId="0" applyNumberFormat="1" applyFont="1" applyFill="1" applyBorder="1" applyAlignment="1">
      <alignment wrapText="1"/>
    </xf>
    <xf numFmtId="0" fontId="7" fillId="7" borderId="19" xfId="0" applyFont="1" applyFill="1" applyBorder="1" applyAlignment="1">
      <alignment horizontal="center" wrapText="1"/>
    </xf>
    <xf numFmtId="3" fontId="7" fillId="7" borderId="19" xfId="0" applyNumberFormat="1" applyFont="1" applyFill="1" applyBorder="1" applyAlignment="1">
      <alignment/>
    </xf>
    <xf numFmtId="10" fontId="7" fillId="7" borderId="19" xfId="0" applyNumberFormat="1" applyFont="1" applyFill="1" applyBorder="1" applyAlignment="1">
      <alignment/>
    </xf>
    <xf numFmtId="0" fontId="0" fillId="7" borderId="18" xfId="0" applyFill="1" applyBorder="1" applyAlignment="1">
      <alignment/>
    </xf>
    <xf numFmtId="3" fontId="8" fillId="7" borderId="18" xfId="0" applyNumberFormat="1" applyFont="1" applyFill="1" applyBorder="1" applyAlignment="1">
      <alignment wrapText="1"/>
    </xf>
    <xf numFmtId="0" fontId="8" fillId="7" borderId="18" xfId="0" applyFont="1" applyFill="1" applyBorder="1" applyAlignment="1">
      <alignment wrapText="1"/>
    </xf>
    <xf numFmtId="3" fontId="8" fillId="7" borderId="18" xfId="0" applyNumberFormat="1" applyFont="1" applyFill="1" applyBorder="1" applyAlignment="1">
      <alignment/>
    </xf>
    <xf numFmtId="10" fontId="8" fillId="7" borderId="18" xfId="0" applyNumberFormat="1" applyFont="1" applyFill="1" applyBorder="1" applyAlignment="1">
      <alignment/>
    </xf>
    <xf numFmtId="1" fontId="10" fillId="7" borderId="18" xfId="0" applyNumberFormat="1" applyFont="1" applyFill="1" applyBorder="1" applyAlignment="1">
      <alignment wrapText="1"/>
    </xf>
    <xf numFmtId="0" fontId="10" fillId="7" borderId="18" xfId="0" applyFont="1" applyFill="1" applyBorder="1" applyAlignment="1">
      <alignment wrapText="1"/>
    </xf>
    <xf numFmtId="0" fontId="10" fillId="7" borderId="0" xfId="0" applyFont="1" applyFill="1" applyAlignment="1">
      <alignment/>
    </xf>
    <xf numFmtId="0" fontId="0" fillId="7" borderId="24" xfId="0" applyFont="1" applyFill="1" applyBorder="1" applyAlignment="1">
      <alignment/>
    </xf>
    <xf numFmtId="1" fontId="0" fillId="7" borderId="25" xfId="0" applyNumberFormat="1" applyFont="1" applyFill="1" applyBorder="1" applyAlignment="1">
      <alignment wrapText="1"/>
    </xf>
    <xf numFmtId="0" fontId="0" fillId="7" borderId="27" xfId="0" applyFont="1" applyFill="1" applyBorder="1" applyAlignment="1">
      <alignment wrapText="1"/>
    </xf>
    <xf numFmtId="0" fontId="0" fillId="7" borderId="0" xfId="0" applyFont="1" applyFill="1" applyAlignment="1">
      <alignment/>
    </xf>
    <xf numFmtId="3" fontId="8" fillId="7" borderId="50" xfId="0" applyNumberFormat="1" applyFont="1" applyFill="1" applyBorder="1" applyAlignment="1">
      <alignment wrapText="1"/>
    </xf>
    <xf numFmtId="3" fontId="14" fillId="0" borderId="18" xfId="0" applyNumberFormat="1" applyFont="1" applyBorder="1" applyAlignment="1" quotePrefix="1">
      <alignment horizontal="right"/>
    </xf>
    <xf numFmtId="0" fontId="14" fillId="0" borderId="18" xfId="0" applyNumberFormat="1" applyFont="1" applyBorder="1" applyAlignment="1" quotePrefix="1">
      <alignment horizontal="right"/>
    </xf>
    <xf numFmtId="0" fontId="14" fillId="0" borderId="18" xfId="0" applyFont="1" applyBorder="1" applyAlignment="1">
      <alignment wrapText="1"/>
    </xf>
    <xf numFmtId="3" fontId="14" fillId="0" borderId="18" xfId="0" applyNumberFormat="1" applyFont="1" applyBorder="1" applyAlignment="1">
      <alignment/>
    </xf>
    <xf numFmtId="10" fontId="14" fillId="0" borderId="18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49" fontId="0" fillId="7" borderId="18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49" xfId="0" applyFont="1" applyBorder="1" applyAlignment="1">
      <alignment/>
    </xf>
    <xf numFmtId="3" fontId="7" fillId="3" borderId="25" xfId="0" applyNumberFormat="1" applyFont="1" applyFill="1" applyBorder="1" applyAlignment="1">
      <alignment horizontal="center"/>
    </xf>
    <xf numFmtId="10" fontId="7" fillId="3" borderId="25" xfId="0" applyNumberFormat="1" applyFont="1" applyFill="1" applyBorder="1" applyAlignment="1">
      <alignment horizontal="center"/>
    </xf>
    <xf numFmtId="3" fontId="7" fillId="3" borderId="26" xfId="0" applyNumberFormat="1" applyFont="1" applyFill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0" fillId="0" borderId="103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3" fontId="0" fillId="0" borderId="92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 horizontal="center"/>
    </xf>
    <xf numFmtId="10" fontId="0" fillId="0" borderId="36" xfId="0" applyNumberFormat="1" applyFont="1" applyBorder="1" applyAlignment="1">
      <alignment horizontal="center"/>
    </xf>
    <xf numFmtId="3" fontId="0" fillId="0" borderId="92" xfId="0" applyNumberFormat="1" applyFont="1" applyBorder="1" applyAlignment="1">
      <alignment/>
    </xf>
    <xf numFmtId="0" fontId="0" fillId="0" borderId="104" xfId="0" applyNumberFormat="1" applyFont="1" applyBorder="1" applyAlignment="1">
      <alignment horizontal="center"/>
    </xf>
    <xf numFmtId="0" fontId="0" fillId="0" borderId="31" xfId="0" applyFont="1" applyBorder="1" applyAlignment="1">
      <alignment horizontal="left" wrapText="1"/>
    </xf>
    <xf numFmtId="3" fontId="0" fillId="0" borderId="37" xfId="0" applyNumberFormat="1" applyFont="1" applyBorder="1" applyAlignment="1">
      <alignment/>
    </xf>
    <xf numFmtId="0" fontId="0" fillId="0" borderId="31" xfId="0" applyFont="1" applyBorder="1" applyAlignment="1">
      <alignment/>
    </xf>
    <xf numFmtId="3" fontId="0" fillId="0" borderId="104" xfId="0" applyNumberFormat="1" applyFont="1" applyBorder="1" applyAlignment="1">
      <alignment/>
    </xf>
    <xf numFmtId="3" fontId="0" fillId="0" borderId="31" xfId="0" applyNumberFormat="1" applyFont="1" applyBorder="1" applyAlignment="1">
      <alignment horizontal="center"/>
    </xf>
    <xf numFmtId="10" fontId="0" fillId="0" borderId="31" xfId="0" applyNumberFormat="1" applyFont="1" applyBorder="1" applyAlignment="1">
      <alignment horizontal="center"/>
    </xf>
    <xf numFmtId="0" fontId="0" fillId="0" borderId="55" xfId="0" applyNumberFormat="1" applyFont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3" fontId="0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3" xfId="0" applyFont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10" fontId="4" fillId="0" borderId="13" xfId="0" applyNumberFormat="1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64" xfId="0" applyFont="1" applyBorder="1" applyAlignment="1">
      <alignment wrapText="1"/>
    </xf>
    <xf numFmtId="3" fontId="0" fillId="0" borderId="64" xfId="0" applyNumberFormat="1" applyFont="1" applyBorder="1" applyAlignment="1">
      <alignment/>
    </xf>
    <xf numFmtId="10" fontId="0" fillId="0" borderId="64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horizontal="left" wrapText="1"/>
    </xf>
    <xf numFmtId="3" fontId="0" fillId="0" borderId="42" xfId="0" applyNumberFormat="1" applyFont="1" applyBorder="1" applyAlignment="1">
      <alignment/>
    </xf>
    <xf numFmtId="10" fontId="0" fillId="0" borderId="42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10" fontId="0" fillId="0" borderId="48" xfId="0" applyNumberFormat="1" applyFont="1" applyBorder="1" applyAlignment="1">
      <alignment/>
    </xf>
    <xf numFmtId="0" fontId="0" fillId="0" borderId="48" xfId="0" applyFont="1" applyBorder="1" applyAlignment="1">
      <alignment wrapText="1"/>
    </xf>
    <xf numFmtId="0" fontId="0" fillId="0" borderId="48" xfId="0" applyBorder="1" applyAlignment="1">
      <alignment/>
    </xf>
    <xf numFmtId="0" fontId="0" fillId="0" borderId="36" xfId="0" applyFont="1" applyBorder="1" applyAlignment="1">
      <alignment vertical="top" wrapText="1"/>
    </xf>
    <xf numFmtId="0" fontId="0" fillId="0" borderId="36" xfId="0" applyFont="1" applyBorder="1" applyAlignment="1">
      <alignment horizontal="left" wrapText="1"/>
    </xf>
    <xf numFmtId="3" fontId="0" fillId="0" borderId="28" xfId="0" applyNumberFormat="1" applyFont="1" applyBorder="1" applyAlignment="1">
      <alignment/>
    </xf>
    <xf numFmtId="10" fontId="0" fillId="0" borderId="28" xfId="0" applyNumberFormat="1" applyFont="1" applyBorder="1" applyAlignment="1">
      <alignment/>
    </xf>
    <xf numFmtId="0" fontId="7" fillId="0" borderId="41" xfId="0" applyFont="1" applyBorder="1" applyAlignment="1">
      <alignment/>
    </xf>
    <xf numFmtId="10" fontId="0" fillId="0" borderId="39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0" fontId="0" fillId="0" borderId="28" xfId="0" applyNumberFormat="1" applyFont="1" applyBorder="1" applyAlignment="1">
      <alignment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/>
    </xf>
    <xf numFmtId="10" fontId="0" fillId="0" borderId="24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10" fontId="0" fillId="0" borderId="0" xfId="0" applyNumberFormat="1" applyFont="1" applyBorder="1" applyAlignment="1">
      <alignment/>
    </xf>
    <xf numFmtId="3" fontId="0" fillId="0" borderId="105" xfId="0" applyNumberFormat="1" applyFont="1" applyBorder="1" applyAlignment="1">
      <alignment wrapText="1"/>
    </xf>
    <xf numFmtId="10" fontId="0" fillId="0" borderId="105" xfId="0" applyNumberFormat="1" applyFont="1" applyBorder="1" applyAlignment="1">
      <alignment wrapText="1"/>
    </xf>
    <xf numFmtId="3" fontId="0" fillId="0" borderId="105" xfId="0" applyNumberFormat="1" applyFont="1" applyBorder="1" applyAlignment="1">
      <alignment/>
    </xf>
    <xf numFmtId="3" fontId="0" fillId="0" borderId="106" xfId="0" applyNumberFormat="1" applyFont="1" applyBorder="1" applyAlignment="1">
      <alignment/>
    </xf>
    <xf numFmtId="10" fontId="0" fillId="0" borderId="106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10" fontId="0" fillId="0" borderId="63" xfId="0" applyNumberFormat="1" applyFont="1" applyBorder="1" applyAlignment="1">
      <alignment/>
    </xf>
    <xf numFmtId="3" fontId="0" fillId="0" borderId="63" xfId="0" applyNumberFormat="1" applyFont="1" applyBorder="1" applyAlignment="1">
      <alignment wrapText="1"/>
    </xf>
    <xf numFmtId="0" fontId="0" fillId="0" borderId="41" xfId="0" applyBorder="1" applyAlignment="1">
      <alignment/>
    </xf>
    <xf numFmtId="0" fontId="7" fillId="2" borderId="13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3" fontId="7" fillId="2" borderId="25" xfId="0" applyNumberFormat="1" applyFont="1" applyFill="1" applyBorder="1" applyAlignment="1">
      <alignment/>
    </xf>
    <xf numFmtId="10" fontId="7" fillId="2" borderId="25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48" xfId="0" applyFont="1" applyFill="1" applyBorder="1" applyAlignment="1">
      <alignment/>
    </xf>
    <xf numFmtId="3" fontId="0" fillId="2" borderId="48" xfId="0" applyNumberFormat="1" applyFont="1" applyFill="1" applyBorder="1" applyAlignment="1">
      <alignment/>
    </xf>
    <xf numFmtId="10" fontId="0" fillId="2" borderId="48" xfId="0" applyNumberFormat="1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3" fontId="0" fillId="2" borderId="28" xfId="0" applyNumberFormat="1" applyFont="1" applyFill="1" applyBorder="1" applyAlignment="1">
      <alignment wrapText="1"/>
    </xf>
    <xf numFmtId="10" fontId="0" fillId="2" borderId="28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3" fontId="0" fillId="2" borderId="36" xfId="0" applyNumberFormat="1" applyFont="1" applyFill="1" applyBorder="1" applyAlignment="1">
      <alignment wrapText="1"/>
    </xf>
    <xf numFmtId="10" fontId="0" fillId="2" borderId="36" xfId="0" applyNumberFormat="1" applyFont="1" applyFill="1" applyBorder="1" applyAlignment="1">
      <alignment wrapText="1"/>
    </xf>
    <xf numFmtId="0" fontId="0" fillId="0" borderId="31" xfId="0" applyFont="1" applyBorder="1" applyAlignment="1">
      <alignment horizontal="left" vertical="center" wrapText="1"/>
    </xf>
    <xf numFmtId="3" fontId="0" fillId="2" borderId="31" xfId="0" applyNumberFormat="1" applyFont="1" applyFill="1" applyBorder="1" applyAlignment="1">
      <alignment wrapText="1"/>
    </xf>
    <xf numFmtId="10" fontId="0" fillId="2" borderId="31" xfId="0" applyNumberFormat="1" applyFont="1" applyFill="1" applyBorder="1" applyAlignment="1">
      <alignment wrapText="1"/>
    </xf>
    <xf numFmtId="3" fontId="0" fillId="0" borderId="39" xfId="0" applyNumberFormat="1" applyFont="1" applyBorder="1" applyAlignment="1">
      <alignment wrapText="1"/>
    </xf>
    <xf numFmtId="3" fontId="7" fillId="0" borderId="19" xfId="0" applyNumberFormat="1" applyFont="1" applyBorder="1" applyAlignment="1">
      <alignment/>
    </xf>
    <xf numFmtId="10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3" fontId="3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15" fillId="0" borderId="0" xfId="0" applyFont="1" applyAlignment="1">
      <alignment vertical="top" wrapText="1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Continuous" wrapText="1"/>
    </xf>
    <xf numFmtId="3" fontId="5" fillId="0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3" borderId="50" xfId="0" applyNumberFormat="1" applyFont="1" applyFill="1" applyBorder="1" applyAlignment="1">
      <alignment horizontal="right"/>
    </xf>
    <xf numFmtId="3" fontId="4" fillId="3" borderId="18" xfId="0" applyNumberFormat="1" applyFont="1" applyFill="1" applyBorder="1" applyAlignment="1">
      <alignment horizontal="left"/>
    </xf>
    <xf numFmtId="3" fontId="4" fillId="3" borderId="18" xfId="0" applyNumberFormat="1" applyFont="1" applyFill="1" applyBorder="1" applyAlignment="1">
      <alignment horizontal="left" wrapText="1"/>
    </xf>
    <xf numFmtId="3" fontId="4" fillId="3" borderId="18" xfId="0" applyNumberFormat="1" applyFont="1" applyFill="1" applyBorder="1" applyAlignment="1">
      <alignment horizontal="right"/>
    </xf>
    <xf numFmtId="10" fontId="4" fillId="3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1" fontId="4" fillId="2" borderId="18" xfId="0" applyNumberFormat="1" applyFont="1" applyFill="1" applyBorder="1" applyAlignment="1">
      <alignment horizontal="right"/>
    </xf>
    <xf numFmtId="3" fontId="4" fillId="2" borderId="18" xfId="0" applyNumberFormat="1" applyFont="1" applyFill="1" applyBorder="1" applyAlignment="1">
      <alignment horizontal="left" wrapText="1"/>
    </xf>
    <xf numFmtId="3" fontId="4" fillId="2" borderId="18" xfId="0" applyNumberFormat="1" applyFont="1" applyFill="1" applyBorder="1" applyAlignment="1">
      <alignment horizontal="right"/>
    </xf>
    <xf numFmtId="10" fontId="4" fillId="2" borderId="18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10" fontId="0" fillId="0" borderId="24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9" fillId="0" borderId="13" xfId="0" applyNumberFormat="1" applyFont="1" applyFill="1" applyBorder="1" applyAlignment="1">
      <alignment/>
    </xf>
    <xf numFmtId="0" fontId="0" fillId="0" borderId="60" xfId="0" applyFont="1" applyBorder="1" applyAlignment="1">
      <alignment wrapText="1"/>
    </xf>
    <xf numFmtId="3" fontId="0" fillId="0" borderId="60" xfId="0" applyNumberFormat="1" applyFont="1" applyFill="1" applyBorder="1" applyAlignment="1">
      <alignment horizontal="right"/>
    </xf>
    <xf numFmtId="3" fontId="0" fillId="0" borderId="60" xfId="0" applyNumberFormat="1" applyFont="1" applyBorder="1" applyAlignment="1">
      <alignment/>
    </xf>
    <xf numFmtId="10" fontId="0" fillId="0" borderId="60" xfId="0" applyNumberFormat="1" applyFont="1" applyFill="1" applyBorder="1" applyAlignment="1">
      <alignment horizontal="right"/>
    </xf>
    <xf numFmtId="3" fontId="0" fillId="0" borderId="60" xfId="0" applyNumberFormat="1" applyFont="1" applyBorder="1" applyAlignment="1">
      <alignment horizontal="right"/>
    </xf>
    <xf numFmtId="10" fontId="0" fillId="0" borderId="60" xfId="0" applyNumberFormat="1" applyFont="1" applyBorder="1" applyAlignment="1">
      <alignment/>
    </xf>
    <xf numFmtId="0" fontId="9" fillId="0" borderId="107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0" fontId="1" fillId="0" borderId="107" xfId="0" applyFont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07" xfId="0" applyNumberFormat="1" applyFont="1" applyFill="1" applyBorder="1" applyAlignment="1">
      <alignment/>
    </xf>
    <xf numFmtId="0" fontId="0" fillId="0" borderId="107" xfId="0" applyBorder="1" applyAlignment="1">
      <alignment/>
    </xf>
    <xf numFmtId="3" fontId="1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/>
    </xf>
    <xf numFmtId="10" fontId="0" fillId="0" borderId="63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9" fillId="0" borderId="50" xfId="0" applyFont="1" applyBorder="1" applyAlignment="1">
      <alignment horizontal="left" wrapText="1"/>
    </xf>
    <xf numFmtId="3" fontId="9" fillId="0" borderId="50" xfId="0" applyNumberFormat="1" applyFont="1" applyBorder="1" applyAlignment="1">
      <alignment horizontal="right"/>
    </xf>
    <xf numFmtId="3" fontId="9" fillId="0" borderId="51" xfId="0" applyNumberFormat="1" applyFont="1" applyBorder="1" applyAlignment="1">
      <alignment horizontal="right"/>
    </xf>
    <xf numFmtId="10" fontId="9" fillId="0" borderId="51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left" wrapText="1"/>
    </xf>
    <xf numFmtId="3" fontId="9" fillId="0" borderId="18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10" fontId="9" fillId="0" borderId="22" xfId="0" applyNumberFormat="1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4" fillId="1" borderId="18" xfId="0" applyFont="1" applyFill="1" applyBorder="1" applyAlignment="1">
      <alignment vertical="center"/>
    </xf>
    <xf numFmtId="3" fontId="4" fillId="1" borderId="18" xfId="0" applyNumberFormat="1" applyFont="1" applyFill="1" applyBorder="1" applyAlignment="1">
      <alignment/>
    </xf>
    <xf numFmtId="3" fontId="4" fillId="1" borderId="22" xfId="0" applyNumberFormat="1" applyFont="1" applyFill="1" applyBorder="1" applyAlignment="1">
      <alignment/>
    </xf>
    <xf numFmtId="10" fontId="4" fillId="1" borderId="22" xfId="0" applyNumberFormat="1" applyFont="1" applyFill="1" applyBorder="1" applyAlignment="1">
      <alignment/>
    </xf>
    <xf numFmtId="0" fontId="4" fillId="3" borderId="18" xfId="0" applyFont="1" applyFill="1" applyBorder="1" applyAlignment="1">
      <alignment vertical="center"/>
    </xf>
    <xf numFmtId="3" fontId="4" fillId="3" borderId="18" xfId="0" applyNumberFormat="1" applyFont="1" applyFill="1" applyBorder="1" applyAlignment="1">
      <alignment/>
    </xf>
    <xf numFmtId="3" fontId="4" fillId="3" borderId="22" xfId="0" applyNumberFormat="1" applyFont="1" applyFill="1" applyBorder="1" applyAlignment="1">
      <alignment/>
    </xf>
    <xf numFmtId="10" fontId="4" fillId="3" borderId="22" xfId="0" applyNumberFormat="1" applyFont="1" applyFill="1" applyBorder="1" applyAlignment="1">
      <alignment/>
    </xf>
    <xf numFmtId="10" fontId="4" fillId="0" borderId="22" xfId="0" applyNumberFormat="1" applyFont="1" applyBorder="1" applyAlignment="1">
      <alignment/>
    </xf>
    <xf numFmtId="0" fontId="1" fillId="0" borderId="31" xfId="0" applyFont="1" applyBorder="1" applyAlignment="1">
      <alignment horizontal="left" wrapText="1"/>
    </xf>
    <xf numFmtId="0" fontId="9" fillId="0" borderId="18" xfId="0" applyFont="1" applyBorder="1" applyAlignment="1" quotePrefix="1">
      <alignment horizontal="right"/>
    </xf>
    <xf numFmtId="0" fontId="9" fillId="0" borderId="39" xfId="0" applyFont="1" applyBorder="1" applyAlignment="1">
      <alignment horizontal="left" wrapText="1"/>
    </xf>
    <xf numFmtId="3" fontId="9" fillId="0" borderId="22" xfId="0" applyNumberFormat="1" applyFont="1" applyBorder="1" applyAlignment="1">
      <alignment/>
    </xf>
    <xf numFmtId="10" fontId="9" fillId="0" borderId="22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36" xfId="0" applyFont="1" applyBorder="1" applyAlignment="1">
      <alignment horizontal="left" wrapText="1"/>
    </xf>
    <xf numFmtId="0" fontId="1" fillId="0" borderId="13" xfId="0" applyFont="1" applyBorder="1" applyAlignment="1" quotePrefix="1">
      <alignment horizontal="right"/>
    </xf>
    <xf numFmtId="0" fontId="1" fillId="0" borderId="28" xfId="0" applyFont="1" applyBorder="1" applyAlignment="1">
      <alignment horizontal="left" wrapText="1"/>
    </xf>
    <xf numFmtId="3" fontId="1" fillId="0" borderId="29" xfId="0" applyNumberFormat="1" applyFont="1" applyBorder="1" applyAlignment="1">
      <alignment/>
    </xf>
    <xf numFmtId="10" fontId="1" fillId="0" borderId="29" xfId="0" applyNumberFormat="1" applyFont="1" applyBorder="1" applyAlignment="1">
      <alignment/>
    </xf>
    <xf numFmtId="0" fontId="4" fillId="0" borderId="18" xfId="0" applyFont="1" applyBorder="1" applyAlignment="1">
      <alignment horizontal="left" wrapText="1"/>
    </xf>
    <xf numFmtId="3" fontId="4" fillId="0" borderId="18" xfId="0" applyNumberFormat="1" applyFont="1" applyBorder="1" applyAlignment="1">
      <alignment horizontal="right" wrapText="1"/>
    </xf>
    <xf numFmtId="0" fontId="1" fillId="0" borderId="2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4" fillId="1" borderId="18" xfId="0" applyNumberFormat="1" applyFont="1" applyFill="1" applyBorder="1" applyAlignment="1">
      <alignment/>
    </xf>
    <xf numFmtId="3" fontId="4" fillId="1" borderId="22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3" fontId="9" fillId="0" borderId="18" xfId="0" applyNumberFormat="1" applyFont="1" applyBorder="1" applyAlignment="1">
      <alignment horizontal="right" wrapText="1"/>
    </xf>
    <xf numFmtId="10" fontId="9" fillId="0" borderId="18" xfId="0" applyNumberFormat="1" applyFont="1" applyBorder="1" applyAlignment="1">
      <alignment horizontal="right" wrapText="1"/>
    </xf>
    <xf numFmtId="0" fontId="9" fillId="0" borderId="41" xfId="0" applyFont="1" applyBorder="1" applyAlignment="1">
      <alignment/>
    </xf>
    <xf numFmtId="0" fontId="9" fillId="0" borderId="13" xfId="0" applyFont="1" applyBorder="1" applyAlignment="1" quotePrefix="1">
      <alignment horizontal="right"/>
    </xf>
    <xf numFmtId="0" fontId="9" fillId="0" borderId="25" xfId="0" applyFont="1" applyBorder="1" applyAlignment="1" quotePrefix="1">
      <alignment horizontal="right"/>
    </xf>
    <xf numFmtId="0" fontId="9" fillId="0" borderId="25" xfId="0" applyFont="1" applyBorder="1" applyAlignment="1">
      <alignment horizontal="left" wrapText="1"/>
    </xf>
    <xf numFmtId="3" fontId="9" fillId="0" borderId="25" xfId="0" applyNumberFormat="1" applyFont="1" applyBorder="1" applyAlignment="1">
      <alignment horizontal="right" wrapText="1"/>
    </xf>
    <xf numFmtId="10" fontId="9" fillId="0" borderId="25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10" fontId="1" fillId="0" borderId="14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10" fontId="9" fillId="0" borderId="40" xfId="0" applyNumberFormat="1" applyFont="1" applyBorder="1" applyAlignment="1">
      <alignment/>
    </xf>
    <xf numFmtId="0" fontId="9" fillId="0" borderId="13" xfId="0" applyFont="1" applyBorder="1" applyAlignment="1">
      <alignment horizontal="left" wrapText="1"/>
    </xf>
    <xf numFmtId="3" fontId="9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10" fontId="9" fillId="0" borderId="14" xfId="0" applyNumberFormat="1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8" xfId="0" applyFont="1" applyBorder="1" applyAlignment="1" quotePrefix="1">
      <alignment horizontal="right"/>
    </xf>
    <xf numFmtId="0" fontId="9" fillId="0" borderId="48" xfId="0" applyFont="1" applyBorder="1" applyAlignment="1">
      <alignment horizontal="left" wrapText="1"/>
    </xf>
    <xf numFmtId="3" fontId="9" fillId="0" borderId="48" xfId="0" applyNumberFormat="1" applyFont="1" applyBorder="1" applyAlignment="1">
      <alignment/>
    </xf>
    <xf numFmtId="10" fontId="9" fillId="0" borderId="48" xfId="0" applyNumberFormat="1" applyFont="1" applyBorder="1" applyAlignment="1">
      <alignment/>
    </xf>
    <xf numFmtId="3" fontId="1" fillId="0" borderId="36" xfId="0" applyNumberFormat="1" applyFont="1" applyBorder="1" applyAlignment="1">
      <alignment horizontal="right" wrapText="1"/>
    </xf>
    <xf numFmtId="10" fontId="1" fillId="0" borderId="36" xfId="0" applyNumberFormat="1" applyFont="1" applyBorder="1" applyAlignment="1">
      <alignment horizontal="right" wrapText="1"/>
    </xf>
    <xf numFmtId="3" fontId="9" fillId="0" borderId="39" xfId="0" applyNumberFormat="1" applyFont="1" applyBorder="1" applyAlignment="1">
      <alignment horizontal="right" wrapText="1"/>
    </xf>
    <xf numFmtId="10" fontId="9" fillId="0" borderId="39" xfId="0" applyNumberFormat="1" applyFont="1" applyBorder="1" applyAlignment="1">
      <alignment horizontal="right" wrapText="1"/>
    </xf>
    <xf numFmtId="3" fontId="1" fillId="0" borderId="28" xfId="0" applyNumberFormat="1" applyFont="1" applyBorder="1" applyAlignment="1">
      <alignment horizontal="right" wrapText="1"/>
    </xf>
    <xf numFmtId="10" fontId="1" fillId="0" borderId="28" xfId="0" applyNumberFormat="1" applyFont="1" applyBorder="1" applyAlignment="1">
      <alignment horizontal="right" wrapText="1"/>
    </xf>
    <xf numFmtId="3" fontId="9" fillId="0" borderId="13" xfId="0" applyNumberFormat="1" applyFont="1" applyBorder="1" applyAlignment="1">
      <alignment horizontal="right" wrapText="1"/>
    </xf>
    <xf numFmtId="10" fontId="9" fillId="0" borderId="13" xfId="0" applyNumberFormat="1" applyFont="1" applyBorder="1" applyAlignment="1">
      <alignment horizontal="right" wrapText="1"/>
    </xf>
    <xf numFmtId="3" fontId="9" fillId="0" borderId="48" xfId="0" applyNumberFormat="1" applyFont="1" applyBorder="1" applyAlignment="1">
      <alignment horizontal="right" wrapText="1"/>
    </xf>
    <xf numFmtId="10" fontId="9" fillId="0" borderId="48" xfId="0" applyNumberFormat="1" applyFont="1" applyBorder="1" applyAlignment="1">
      <alignment horizontal="right" wrapText="1"/>
    </xf>
    <xf numFmtId="0" fontId="1" fillId="0" borderId="14" xfId="0" applyFont="1" applyBorder="1" applyAlignment="1" quotePrefix="1">
      <alignment horizontal="right"/>
    </xf>
    <xf numFmtId="0" fontId="1" fillId="0" borderId="18" xfId="0" applyFont="1" applyBorder="1" applyAlignment="1">
      <alignment horizontal="left" wrapText="1"/>
    </xf>
    <xf numFmtId="3" fontId="1" fillId="0" borderId="18" xfId="0" applyNumberFormat="1" applyFont="1" applyBorder="1" applyAlignment="1">
      <alignment horizontal="right" wrapText="1"/>
    </xf>
    <xf numFmtId="3" fontId="1" fillId="0" borderId="2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9" fillId="0" borderId="25" xfId="0" applyFont="1" applyBorder="1" applyAlignment="1">
      <alignment wrapText="1"/>
    </xf>
    <xf numFmtId="3" fontId="9" fillId="0" borderId="26" xfId="0" applyNumberFormat="1" applyFont="1" applyBorder="1" applyAlignment="1">
      <alignment horizontal="right" wrapText="1"/>
    </xf>
    <xf numFmtId="10" fontId="9" fillId="0" borderId="26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3" fontId="9" fillId="0" borderId="14" xfId="0" applyNumberFormat="1" applyFont="1" applyBorder="1" applyAlignment="1">
      <alignment horizontal="right" wrapText="1"/>
    </xf>
    <xf numFmtId="10" fontId="9" fillId="0" borderId="14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0" xfId="0" applyFont="1" applyBorder="1" applyAlignment="1">
      <alignment wrapText="1"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10" fontId="4" fillId="0" borderId="4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0" fillId="0" borderId="7" xfId="0" applyBorder="1" applyAlignment="1">
      <alignment horizontal="center" vertical="center"/>
    </xf>
    <xf numFmtId="10" fontId="9" fillId="0" borderId="22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0" fontId="3" fillId="1" borderId="18" xfId="0" applyFont="1" applyFill="1" applyBorder="1" applyAlignment="1">
      <alignment/>
    </xf>
    <xf numFmtId="3" fontId="3" fillId="1" borderId="18" xfId="0" applyNumberFormat="1" applyFont="1" applyFill="1" applyBorder="1" applyAlignment="1">
      <alignment/>
    </xf>
    <xf numFmtId="3" fontId="3" fillId="1" borderId="22" xfId="0" applyNumberFormat="1" applyFont="1" applyFill="1" applyBorder="1" applyAlignment="1">
      <alignment/>
    </xf>
    <xf numFmtId="10" fontId="3" fillId="1" borderId="22" xfId="0" applyNumberFormat="1" applyFont="1" applyFill="1" applyBorder="1" applyAlignment="1">
      <alignment horizontal="right"/>
    </xf>
    <xf numFmtId="10" fontId="4" fillId="3" borderId="22" xfId="0" applyNumberFormat="1" applyFont="1" applyFill="1" applyBorder="1" applyAlignment="1">
      <alignment horizontal="right"/>
    </xf>
    <xf numFmtId="10" fontId="4" fillId="2" borderId="22" xfId="0" applyNumberFormat="1" applyFont="1" applyFill="1" applyBorder="1" applyAlignment="1">
      <alignment horizontal="right"/>
    </xf>
    <xf numFmtId="3" fontId="1" fillId="0" borderId="49" xfId="0" applyNumberFormat="1" applyFont="1" applyBorder="1" applyAlignment="1">
      <alignment/>
    </xf>
    <xf numFmtId="10" fontId="1" fillId="2" borderId="49" xfId="0" applyNumberFormat="1" applyFont="1" applyFill="1" applyBorder="1" applyAlignment="1">
      <alignment horizontal="right"/>
    </xf>
    <xf numFmtId="10" fontId="9" fillId="2" borderId="39" xfId="0" applyNumberFormat="1" applyFont="1" applyFill="1" applyBorder="1" applyAlignment="1">
      <alignment horizontal="right"/>
    </xf>
    <xf numFmtId="10" fontId="1" fillId="2" borderId="29" xfId="0" applyNumberFormat="1" applyFont="1" applyFill="1" applyBorder="1" applyAlignment="1">
      <alignment horizontal="right"/>
    </xf>
    <xf numFmtId="0" fontId="9" fillId="0" borderId="18" xfId="0" applyFont="1" applyBorder="1" applyAlignment="1">
      <alignment horizontal="right"/>
    </xf>
    <xf numFmtId="10" fontId="9" fillId="2" borderId="18" xfId="0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8" xfId="0" applyFont="1" applyBorder="1" applyAlignment="1">
      <alignment/>
    </xf>
    <xf numFmtId="0" fontId="4" fillId="1" borderId="18" xfId="0" applyFont="1" applyFill="1" applyBorder="1" applyAlignment="1">
      <alignment/>
    </xf>
    <xf numFmtId="3" fontId="4" fillId="1" borderId="25" xfId="0" applyNumberFormat="1" applyFont="1" applyFill="1" applyBorder="1" applyAlignment="1">
      <alignment/>
    </xf>
    <xf numFmtId="10" fontId="4" fillId="1" borderId="40" xfId="0" applyNumberFormat="1" applyFont="1" applyFill="1" applyBorder="1" applyAlignment="1">
      <alignment horizontal="right"/>
    </xf>
    <xf numFmtId="10" fontId="4" fillId="3" borderId="40" xfId="0" applyNumberFormat="1" applyFont="1" applyFill="1" applyBorder="1" applyAlignment="1">
      <alignment horizontal="right"/>
    </xf>
    <xf numFmtId="10" fontId="4" fillId="2" borderId="40" xfId="0" applyNumberFormat="1" applyFont="1" applyFill="1" applyBorder="1" applyAlignment="1">
      <alignment horizontal="right"/>
    </xf>
    <xf numFmtId="3" fontId="1" fillId="0" borderId="37" xfId="0" applyNumberFormat="1" applyFont="1" applyBorder="1" applyAlignment="1">
      <alignment/>
    </xf>
    <xf numFmtId="10" fontId="9" fillId="2" borderId="40" xfId="0" applyNumberFormat="1" applyFont="1" applyFill="1" applyBorder="1" applyAlignment="1">
      <alignment horizontal="right"/>
    </xf>
    <xf numFmtId="0" fontId="1" fillId="0" borderId="14" xfId="0" applyFont="1" applyBorder="1" applyAlignment="1">
      <alignment/>
    </xf>
    <xf numFmtId="10" fontId="1" fillId="2" borderId="37" xfId="0" applyNumberFormat="1" applyFont="1" applyFill="1" applyBorder="1" applyAlignment="1">
      <alignment horizontal="right"/>
    </xf>
    <xf numFmtId="0" fontId="9" fillId="0" borderId="13" xfId="0" applyFont="1" applyBorder="1" applyAlignment="1">
      <alignment wrapText="1"/>
    </xf>
    <xf numFmtId="3" fontId="9" fillId="0" borderId="43" xfId="0" applyNumberFormat="1" applyFont="1" applyBorder="1" applyAlignment="1">
      <alignment/>
    </xf>
    <xf numFmtId="10" fontId="9" fillId="2" borderId="43" xfId="0" applyNumberFormat="1" applyFont="1" applyFill="1" applyBorder="1" applyAlignment="1">
      <alignment horizontal="right"/>
    </xf>
    <xf numFmtId="0" fontId="9" fillId="0" borderId="48" xfId="0" applyFont="1" applyBorder="1" applyAlignment="1">
      <alignment wrapText="1"/>
    </xf>
    <xf numFmtId="10" fontId="9" fillId="2" borderId="48" xfId="0" applyNumberFormat="1" applyFont="1" applyFill="1" applyBorder="1" applyAlignment="1">
      <alignment horizontal="right"/>
    </xf>
    <xf numFmtId="10" fontId="9" fillId="2" borderId="22" xfId="0" applyNumberFormat="1" applyFont="1" applyFill="1" applyBorder="1" applyAlignment="1">
      <alignment horizontal="right"/>
    </xf>
    <xf numFmtId="3" fontId="9" fillId="0" borderId="22" xfId="0" applyNumberFormat="1" applyFont="1" applyBorder="1" applyAlignment="1">
      <alignment horizontal="right" wrapText="1"/>
    </xf>
    <xf numFmtId="10" fontId="4" fillId="0" borderId="22" xfId="0" applyNumberFormat="1" applyFont="1" applyBorder="1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/>
    </xf>
    <xf numFmtId="1" fontId="5" fillId="0" borderId="7" xfId="0" applyNumberFormat="1" applyFont="1" applyBorder="1" applyAlignment="1">
      <alignment horizontal="center" vertical="center"/>
    </xf>
    <xf numFmtId="0" fontId="5" fillId="0" borderId="72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 vertical="center"/>
    </xf>
    <xf numFmtId="3" fontId="9" fillId="0" borderId="52" xfId="0" applyNumberFormat="1" applyFont="1" applyBorder="1" applyAlignment="1">
      <alignment horizontal="right"/>
    </xf>
    <xf numFmtId="10" fontId="9" fillId="0" borderId="50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center" vertical="center"/>
    </xf>
    <xf numFmtId="3" fontId="9" fillId="0" borderId="109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10" fontId="9" fillId="0" borderId="23" xfId="0" applyNumberFormat="1" applyFont="1" applyBorder="1" applyAlignment="1">
      <alignment horizontal="right"/>
    </xf>
    <xf numFmtId="1" fontId="1" fillId="0" borderId="18" xfId="0" applyNumberFormat="1" applyFont="1" applyFill="1" applyBorder="1" applyAlignment="1">
      <alignment/>
    </xf>
    <xf numFmtId="3" fontId="4" fillId="1" borderId="18" xfId="0" applyNumberFormat="1" applyFont="1" applyFill="1" applyBorder="1" applyAlignment="1">
      <alignment vertical="center"/>
    </xf>
    <xf numFmtId="3" fontId="4" fillId="1" borderId="25" xfId="0" applyNumberFormat="1" applyFont="1" applyFill="1" applyBorder="1" applyAlignment="1">
      <alignment/>
    </xf>
    <xf numFmtId="10" fontId="4" fillId="1" borderId="25" xfId="0" applyNumberFormat="1" applyFont="1" applyFill="1" applyBorder="1" applyAlignment="1">
      <alignment/>
    </xf>
    <xf numFmtId="1" fontId="4" fillId="3" borderId="18" xfId="0" applyNumberFormat="1" applyFont="1" applyFill="1" applyBorder="1" applyAlignment="1">
      <alignment vertical="center"/>
    </xf>
    <xf numFmtId="1" fontId="1" fillId="0" borderId="13" xfId="0" applyNumberFormat="1" applyFont="1" applyBorder="1" applyAlignment="1" quotePrefix="1">
      <alignment horizontal="right"/>
    </xf>
    <xf numFmtId="3" fontId="1" fillId="0" borderId="28" xfId="0" applyNumberFormat="1" applyFont="1" applyBorder="1" applyAlignment="1">
      <alignment horizontal="left" wrapText="1"/>
    </xf>
    <xf numFmtId="10" fontId="1" fillId="0" borderId="49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1" fontId="9" fillId="0" borderId="18" xfId="0" applyNumberFormat="1" applyFont="1" applyBorder="1" applyAlignment="1" quotePrefix="1">
      <alignment horizontal="right"/>
    </xf>
    <xf numFmtId="3" fontId="9" fillId="0" borderId="18" xfId="0" applyNumberFormat="1" applyFont="1" applyBorder="1" applyAlignment="1">
      <alignment horizontal="left" wrapText="1"/>
    </xf>
    <xf numFmtId="3" fontId="1" fillId="0" borderId="36" xfId="0" applyNumberFormat="1" applyFont="1" applyBorder="1" applyAlignment="1">
      <alignment horizontal="left" wrapText="1"/>
    </xf>
    <xf numFmtId="10" fontId="1" fillId="0" borderId="37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0" fontId="4" fillId="1" borderId="25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1" fontId="4" fillId="3" borderId="18" xfId="0" applyNumberFormat="1" applyFont="1" applyFill="1" applyBorder="1" applyAlignment="1">
      <alignment/>
    </xf>
    <xf numFmtId="3" fontId="4" fillId="3" borderId="25" xfId="0" applyNumberFormat="1" applyFont="1" applyFill="1" applyBorder="1" applyAlignment="1">
      <alignment/>
    </xf>
    <xf numFmtId="10" fontId="4" fillId="3" borderId="25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10" fontId="4" fillId="0" borderId="25" xfId="0" applyNumberFormat="1" applyFont="1" applyBorder="1" applyAlignment="1">
      <alignment/>
    </xf>
    <xf numFmtId="10" fontId="9" fillId="0" borderId="39" xfId="0" applyNumberFormat="1" applyFont="1" applyBorder="1" applyAlignment="1">
      <alignment/>
    </xf>
    <xf numFmtId="1" fontId="9" fillId="0" borderId="25" xfId="0" applyNumberFormat="1" applyFont="1" applyBorder="1" applyAlignment="1">
      <alignment/>
    </xf>
    <xf numFmtId="3" fontId="9" fillId="0" borderId="25" xfId="0" applyNumberFormat="1" applyFont="1" applyBorder="1" applyAlignment="1">
      <alignment horizontal="left" wrapText="1"/>
    </xf>
    <xf numFmtId="3" fontId="9" fillId="0" borderId="25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10" fontId="9" fillId="0" borderId="2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9" fillId="0" borderId="39" xfId="0" applyFont="1" applyBorder="1" applyAlignment="1">
      <alignment wrapText="1"/>
    </xf>
    <xf numFmtId="3" fontId="9" fillId="0" borderId="40" xfId="0" applyNumberFormat="1" applyFont="1" applyBorder="1" applyAlignment="1">
      <alignment horizontal="right" wrapText="1"/>
    </xf>
    <xf numFmtId="10" fontId="9" fillId="0" borderId="40" xfId="0" applyNumberFormat="1" applyFont="1" applyBorder="1" applyAlignment="1">
      <alignment horizontal="right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/>
    </xf>
    <xf numFmtId="0" fontId="3" fillId="0" borderId="77" xfId="0" applyFont="1" applyBorder="1" applyAlignment="1">
      <alignment/>
    </xf>
    <xf numFmtId="10" fontId="3" fillId="0" borderId="1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10" fontId="3" fillId="0" borderId="10" xfId="0" applyNumberFormat="1" applyFont="1" applyBorder="1" applyAlignment="1">
      <alignment horizontal="right"/>
    </xf>
    <xf numFmtId="10" fontId="0" fillId="0" borderId="111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10" fontId="0" fillId="0" borderId="13" xfId="0" applyNumberFormat="1" applyFont="1" applyBorder="1" applyAlignment="1">
      <alignment horizontal="right"/>
    </xf>
    <xf numFmtId="0" fontId="11" fillId="2" borderId="21" xfId="0" applyFont="1" applyFill="1" applyBorder="1" applyAlignment="1">
      <alignment horizontal="left" wrapText="1"/>
    </xf>
    <xf numFmtId="3" fontId="11" fillId="2" borderId="19" xfId="0" applyNumberFormat="1" applyFont="1" applyFill="1" applyBorder="1" applyAlignment="1">
      <alignment horizontal="right" wrapText="1"/>
    </xf>
    <xf numFmtId="10" fontId="11" fillId="2" borderId="112" xfId="0" applyNumberFormat="1" applyFont="1" applyFill="1" applyBorder="1" applyAlignment="1">
      <alignment horizontal="right" wrapText="1"/>
    </xf>
    <xf numFmtId="3" fontId="11" fillId="2" borderId="20" xfId="0" applyNumberFormat="1" applyFont="1" applyFill="1" applyBorder="1" applyAlignment="1">
      <alignment horizontal="right" wrapText="1"/>
    </xf>
    <xf numFmtId="10" fontId="11" fillId="2" borderId="19" xfId="0" applyNumberFormat="1" applyFont="1" applyFill="1" applyBorder="1" applyAlignment="1">
      <alignment horizontal="right" wrapText="1"/>
    </xf>
    <xf numFmtId="10" fontId="7" fillId="3" borderId="109" xfId="0" applyNumberFormat="1" applyFont="1" applyFill="1" applyBorder="1" applyAlignment="1">
      <alignment horizontal="right"/>
    </xf>
    <xf numFmtId="10" fontId="7" fillId="2" borderId="113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 horizontal="right"/>
    </xf>
    <xf numFmtId="0" fontId="10" fillId="2" borderId="24" xfId="0" applyFont="1" applyFill="1" applyBorder="1" applyAlignment="1">
      <alignment/>
    </xf>
    <xf numFmtId="10" fontId="0" fillId="2" borderId="114" xfId="0" applyNumberFormat="1" applyFont="1" applyFill="1" applyBorder="1" applyAlignment="1">
      <alignment horizontal="right"/>
    </xf>
    <xf numFmtId="0" fontId="10" fillId="2" borderId="18" xfId="0" applyFont="1" applyFill="1" applyBorder="1" applyAlignment="1">
      <alignment/>
    </xf>
    <xf numFmtId="0" fontId="10" fillId="2" borderId="18" xfId="0" applyFont="1" applyFill="1" applyBorder="1" applyAlignment="1">
      <alignment wrapText="1"/>
    </xf>
    <xf numFmtId="3" fontId="22" fillId="2" borderId="18" xfId="0" applyNumberFormat="1" applyFont="1" applyFill="1" applyBorder="1" applyAlignment="1">
      <alignment horizontal="right"/>
    </xf>
    <xf numFmtId="10" fontId="22" fillId="2" borderId="109" xfId="0" applyNumberFormat="1" applyFont="1" applyFill="1" applyBorder="1" applyAlignment="1">
      <alignment horizontal="right"/>
    </xf>
    <xf numFmtId="3" fontId="22" fillId="2" borderId="22" xfId="0" applyNumberFormat="1" applyFont="1" applyFill="1" applyBorder="1" applyAlignment="1">
      <alignment horizontal="right"/>
    </xf>
    <xf numFmtId="10" fontId="22" fillId="2" borderId="18" xfId="0" applyNumberFormat="1" applyFont="1" applyFill="1" applyBorder="1" applyAlignment="1">
      <alignment horizontal="right"/>
    </xf>
    <xf numFmtId="10" fontId="0" fillId="2" borderId="115" xfId="0" applyNumberFormat="1" applyFont="1" applyFill="1" applyBorder="1" applyAlignment="1">
      <alignment horizontal="right"/>
    </xf>
    <xf numFmtId="3" fontId="22" fillId="2" borderId="39" xfId="0" applyNumberFormat="1" applyFont="1" applyFill="1" applyBorder="1" applyAlignment="1">
      <alignment horizontal="right"/>
    </xf>
    <xf numFmtId="10" fontId="22" fillId="2" borderId="116" xfId="0" applyNumberFormat="1" applyFont="1" applyFill="1" applyBorder="1" applyAlignment="1">
      <alignment horizontal="right"/>
    </xf>
    <xf numFmtId="3" fontId="22" fillId="2" borderId="40" xfId="0" applyNumberFormat="1" applyFont="1" applyFill="1" applyBorder="1" applyAlignment="1">
      <alignment horizontal="right"/>
    </xf>
    <xf numFmtId="10" fontId="22" fillId="2" borderId="39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/>
    </xf>
    <xf numFmtId="10" fontId="0" fillId="2" borderId="111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10" fontId="0" fillId="2" borderId="13" xfId="0" applyNumberFormat="1" applyFont="1" applyFill="1" applyBorder="1" applyAlignment="1">
      <alignment/>
    </xf>
    <xf numFmtId="0" fontId="0" fillId="2" borderId="31" xfId="0" applyFont="1" applyFill="1" applyBorder="1" applyAlignment="1">
      <alignment/>
    </xf>
    <xf numFmtId="3" fontId="0" fillId="2" borderId="31" xfId="0" applyNumberFormat="1" applyFont="1" applyFill="1" applyBorder="1" applyAlignment="1">
      <alignment/>
    </xf>
    <xf numFmtId="10" fontId="0" fillId="2" borderId="86" xfId="0" applyNumberFormat="1" applyFont="1" applyFill="1" applyBorder="1" applyAlignment="1">
      <alignment/>
    </xf>
    <xf numFmtId="3" fontId="0" fillId="2" borderId="32" xfId="0" applyNumberFormat="1" applyFont="1" applyFill="1" applyBorder="1" applyAlignment="1">
      <alignment/>
    </xf>
    <xf numFmtId="10" fontId="0" fillId="2" borderId="31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10" fontId="0" fillId="2" borderId="109" xfId="0" applyNumberFormat="1" applyFont="1" applyFill="1" applyBorder="1" applyAlignment="1">
      <alignment/>
    </xf>
    <xf numFmtId="3" fontId="0" fillId="2" borderId="22" xfId="0" applyNumberFormat="1" applyFont="1" applyFill="1" applyBorder="1" applyAlignment="1">
      <alignment/>
    </xf>
    <xf numFmtId="0" fontId="7" fillId="3" borderId="23" xfId="0" applyFont="1" applyFill="1" applyBorder="1" applyAlignment="1">
      <alignment wrapText="1"/>
    </xf>
    <xf numFmtId="0" fontId="7" fillId="2" borderId="27" xfId="0" applyFont="1" applyFill="1" applyBorder="1" applyAlignment="1">
      <alignment wrapText="1"/>
    </xf>
    <xf numFmtId="0" fontId="0" fillId="2" borderId="47" xfId="0" applyFont="1" applyFill="1" applyBorder="1" applyAlignment="1">
      <alignment horizontal="left" wrapText="1"/>
    </xf>
    <xf numFmtId="0" fontId="10" fillId="0" borderId="23" xfId="0" applyFont="1" applyBorder="1" applyAlignment="1">
      <alignment/>
    </xf>
    <xf numFmtId="10" fontId="0" fillId="2" borderId="113" xfId="0" applyNumberFormat="1" applyFont="1" applyFill="1" applyBorder="1" applyAlignment="1">
      <alignment horizontal="right"/>
    </xf>
    <xf numFmtId="0" fontId="8" fillId="0" borderId="13" xfId="0" applyFont="1" applyBorder="1" applyAlignment="1">
      <alignment/>
    </xf>
    <xf numFmtId="10" fontId="7" fillId="2" borderId="115" xfId="0" applyNumberFormat="1" applyFont="1" applyFill="1" applyBorder="1" applyAlignment="1">
      <alignment horizontal="right"/>
    </xf>
    <xf numFmtId="0" fontId="10" fillId="0" borderId="24" xfId="0" applyFont="1" applyBorder="1" applyAlignment="1">
      <alignment/>
    </xf>
    <xf numFmtId="10" fontId="0" fillId="2" borderId="117" xfId="0" applyNumberFormat="1" applyFont="1" applyFill="1" applyBorder="1" applyAlignment="1">
      <alignment horizontal="right"/>
    </xf>
    <xf numFmtId="10" fontId="22" fillId="2" borderId="13" xfId="0" applyNumberFormat="1" applyFont="1" applyFill="1" applyBorder="1" applyAlignment="1">
      <alignment horizontal="right"/>
    </xf>
    <xf numFmtId="10" fontId="0" fillId="2" borderId="116" xfId="0" applyNumberFormat="1" applyFont="1" applyFill="1" applyBorder="1" applyAlignment="1">
      <alignment horizontal="right"/>
    </xf>
    <xf numFmtId="10" fontId="7" fillId="2" borderId="109" xfId="0" applyNumberFormat="1" applyFont="1" applyFill="1" applyBorder="1" applyAlignment="1">
      <alignment horizontal="right"/>
    </xf>
    <xf numFmtId="10" fontId="0" fillId="0" borderId="109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10" fontId="7" fillId="0" borderId="109" xfId="0" applyNumberFormat="1" applyFont="1" applyBorder="1" applyAlignment="1">
      <alignment/>
    </xf>
    <xf numFmtId="10" fontId="0" fillId="0" borderId="117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10" fontId="0" fillId="0" borderId="116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10" fontId="7" fillId="3" borderId="113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0" fontId="22" fillId="2" borderId="28" xfId="0" applyNumberFormat="1" applyFont="1" applyFill="1" applyBorder="1" applyAlignment="1">
      <alignment horizontal="right"/>
    </xf>
    <xf numFmtId="10" fontId="0" fillId="0" borderId="115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10" fontId="22" fillId="0" borderId="116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10" fontId="22" fillId="0" borderId="39" xfId="0" applyNumberFormat="1" applyFont="1" applyBorder="1" applyAlignment="1">
      <alignment/>
    </xf>
    <xf numFmtId="10" fontId="0" fillId="0" borderId="113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105" xfId="0" applyFont="1" applyBorder="1" applyAlignment="1">
      <alignment/>
    </xf>
    <xf numFmtId="3" fontId="10" fillId="0" borderId="105" xfId="0" applyNumberFormat="1" applyFont="1" applyBorder="1" applyAlignment="1">
      <alignment/>
    </xf>
    <xf numFmtId="10" fontId="10" fillId="0" borderId="118" xfId="0" applyNumberFormat="1" applyFont="1" applyBorder="1" applyAlignment="1">
      <alignment/>
    </xf>
    <xf numFmtId="3" fontId="10" fillId="0" borderId="119" xfId="0" applyNumberFormat="1" applyFont="1" applyBorder="1" applyAlignment="1">
      <alignment/>
    </xf>
    <xf numFmtId="10" fontId="10" fillId="0" borderId="105" xfId="0" applyNumberFormat="1" applyFont="1" applyBorder="1" applyAlignment="1">
      <alignment/>
    </xf>
    <xf numFmtId="0" fontId="10" fillId="0" borderId="60" xfId="0" applyFont="1" applyBorder="1" applyAlignment="1">
      <alignment/>
    </xf>
    <xf numFmtId="3" fontId="10" fillId="0" borderId="60" xfId="0" applyNumberFormat="1" applyFont="1" applyBorder="1" applyAlignment="1">
      <alignment/>
    </xf>
    <xf numFmtId="10" fontId="10" fillId="0" borderId="120" xfId="0" applyNumberFormat="1" applyFont="1" applyBorder="1" applyAlignment="1">
      <alignment/>
    </xf>
    <xf numFmtId="3" fontId="10" fillId="0" borderId="121" xfId="0" applyNumberFormat="1" applyFont="1" applyBorder="1" applyAlignment="1">
      <alignment/>
    </xf>
    <xf numFmtId="10" fontId="10" fillId="0" borderId="60" xfId="0" applyNumberFormat="1" applyFont="1" applyBorder="1" applyAlignment="1">
      <alignment/>
    </xf>
    <xf numFmtId="10" fontId="0" fillId="0" borderId="11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0" fontId="0" fillId="0" borderId="86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10" fontId="0" fillId="0" borderId="114" xfId="0" applyNumberFormat="1" applyFont="1" applyBorder="1" applyAlignment="1">
      <alignment/>
    </xf>
    <xf numFmtId="0" fontId="10" fillId="0" borderId="41" xfId="0" applyFont="1" applyBorder="1" applyAlignment="1">
      <alignment/>
    </xf>
    <xf numFmtId="10" fontId="0" fillId="2" borderId="111" xfId="0" applyNumberFormat="1" applyFont="1" applyFill="1" applyBorder="1" applyAlignment="1">
      <alignment horizontal="right"/>
    </xf>
    <xf numFmtId="0" fontId="22" fillId="0" borderId="13" xfId="0" applyFont="1" applyBorder="1" applyAlignment="1">
      <alignment/>
    </xf>
    <xf numFmtId="0" fontId="10" fillId="2" borderId="39" xfId="0" applyFont="1" applyFill="1" applyBorder="1" applyAlignment="1">
      <alignment wrapText="1"/>
    </xf>
    <xf numFmtId="0" fontId="22" fillId="0" borderId="0" xfId="0" applyFont="1" applyAlignment="1">
      <alignment/>
    </xf>
    <xf numFmtId="10" fontId="0" fillId="2" borderId="109" xfId="0" applyNumberFormat="1" applyFont="1" applyFill="1" applyBorder="1" applyAlignment="1">
      <alignment horizontal="right"/>
    </xf>
    <xf numFmtId="0" fontId="0" fillId="0" borderId="42" xfId="0" applyFont="1" applyBorder="1" applyAlignment="1">
      <alignment/>
    </xf>
    <xf numFmtId="10" fontId="0" fillId="0" borderId="12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10" fontId="22" fillId="0" borderId="109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10" fontId="22" fillId="0" borderId="18" xfId="0" applyNumberFormat="1" applyFont="1" applyBorder="1" applyAlignment="1">
      <alignment/>
    </xf>
    <xf numFmtId="0" fontId="22" fillId="2" borderId="13" xfId="0" applyFont="1" applyFill="1" applyBorder="1" applyAlignment="1">
      <alignment horizontal="right"/>
    </xf>
    <xf numFmtId="3" fontId="10" fillId="2" borderId="18" xfId="0" applyNumberFormat="1" applyFont="1" applyFill="1" applyBorder="1" applyAlignment="1">
      <alignment horizontal="right"/>
    </xf>
    <xf numFmtId="10" fontId="10" fillId="2" borderId="109" xfId="0" applyNumberFormat="1" applyFont="1" applyFill="1" applyBorder="1" applyAlignment="1">
      <alignment horizontal="right"/>
    </xf>
    <xf numFmtId="3" fontId="10" fillId="2" borderId="22" xfId="0" applyNumberFormat="1" applyFont="1" applyFill="1" applyBorder="1" applyAlignment="1">
      <alignment horizontal="right"/>
    </xf>
    <xf numFmtId="10" fontId="10" fillId="2" borderId="18" xfId="0" applyNumberFormat="1" applyFont="1" applyFill="1" applyBorder="1" applyAlignment="1">
      <alignment horizontal="right"/>
    </xf>
    <xf numFmtId="0" fontId="8" fillId="0" borderId="123" xfId="0" applyFont="1" applyBorder="1" applyAlignment="1">
      <alignment wrapText="1"/>
    </xf>
    <xf numFmtId="3" fontId="11" fillId="0" borderId="123" xfId="0" applyNumberFormat="1" applyFont="1" applyBorder="1" applyAlignment="1">
      <alignment wrapText="1"/>
    </xf>
    <xf numFmtId="10" fontId="11" fillId="0" borderId="124" xfId="0" applyNumberFormat="1" applyFont="1" applyBorder="1" applyAlignment="1">
      <alignment wrapText="1"/>
    </xf>
    <xf numFmtId="10" fontId="11" fillId="0" borderId="123" xfId="0" applyNumberFormat="1" applyFont="1" applyBorder="1" applyAlignment="1">
      <alignment wrapText="1"/>
    </xf>
    <xf numFmtId="10" fontId="7" fillId="3" borderId="109" xfId="0" applyNumberFormat="1" applyFont="1" applyFill="1" applyBorder="1" applyAlignment="1">
      <alignment wrapText="1"/>
    </xf>
    <xf numFmtId="10" fontId="7" fillId="0" borderId="109" xfId="0" applyNumberFormat="1" applyFont="1" applyBorder="1" applyAlignment="1">
      <alignment wrapText="1"/>
    </xf>
    <xf numFmtId="0" fontId="10" fillId="0" borderId="13" xfId="0" applyFont="1" applyBorder="1" applyAlignment="1">
      <alignment wrapText="1"/>
    </xf>
    <xf numFmtId="10" fontId="0" fillId="0" borderId="115" xfId="0" applyNumberFormat="1" applyFont="1" applyBorder="1" applyAlignment="1">
      <alignment wrapText="1"/>
    </xf>
    <xf numFmtId="10" fontId="0" fillId="0" borderId="36" xfId="0" applyNumberFormat="1" applyFont="1" applyBorder="1" applyAlignment="1">
      <alignment wrapText="1"/>
    </xf>
    <xf numFmtId="3" fontId="22" fillId="0" borderId="18" xfId="0" applyNumberFormat="1" applyFont="1" applyBorder="1" applyAlignment="1">
      <alignment wrapText="1"/>
    </xf>
    <xf numFmtId="10" fontId="22" fillId="0" borderId="109" xfId="0" applyNumberFormat="1" applyFont="1" applyBorder="1" applyAlignment="1">
      <alignment wrapText="1"/>
    </xf>
    <xf numFmtId="3" fontId="22" fillId="0" borderId="22" xfId="0" applyNumberFormat="1" applyFont="1" applyBorder="1" applyAlignment="1">
      <alignment wrapText="1"/>
    </xf>
    <xf numFmtId="10" fontId="22" fillId="0" borderId="18" xfId="0" applyNumberFormat="1" applyFont="1" applyBorder="1" applyAlignment="1">
      <alignment wrapText="1"/>
    </xf>
    <xf numFmtId="10" fontId="7" fillId="3" borderId="113" xfId="0" applyNumberFormat="1" applyFont="1" applyFill="1" applyBorder="1" applyAlignment="1">
      <alignment wrapText="1"/>
    </xf>
    <xf numFmtId="10" fontId="7" fillId="0" borderId="113" xfId="0" applyNumberFormat="1" applyFont="1" applyBorder="1" applyAlignment="1">
      <alignment wrapText="1"/>
    </xf>
    <xf numFmtId="0" fontId="10" fillId="0" borderId="18" xfId="0" applyFont="1" applyBorder="1" applyAlignment="1">
      <alignment horizontal="right"/>
    </xf>
    <xf numFmtId="0" fontId="10" fillId="0" borderId="18" xfId="0" applyFont="1" applyBorder="1" applyAlignment="1">
      <alignment/>
    </xf>
    <xf numFmtId="0" fontId="0" fillId="0" borderId="39" xfId="0" applyFont="1" applyBorder="1" applyAlignment="1">
      <alignment horizontal="left" wrapText="1"/>
    </xf>
    <xf numFmtId="10" fontId="0" fillId="0" borderId="116" xfId="0" applyNumberFormat="1" applyFont="1" applyBorder="1" applyAlignment="1">
      <alignment wrapText="1"/>
    </xf>
    <xf numFmtId="3" fontId="0" fillId="0" borderId="40" xfId="0" applyNumberFormat="1" applyFont="1" applyBorder="1" applyAlignment="1">
      <alignment wrapText="1"/>
    </xf>
    <xf numFmtId="10" fontId="0" fillId="0" borderId="39" xfId="0" applyNumberFormat="1" applyFont="1" applyBorder="1" applyAlignment="1">
      <alignment wrapText="1"/>
    </xf>
    <xf numFmtId="0" fontId="10" fillId="0" borderId="13" xfId="0" applyFont="1" applyBorder="1" applyAlignment="1">
      <alignment horizontal="right"/>
    </xf>
    <xf numFmtId="3" fontId="22" fillId="0" borderId="39" xfId="0" applyNumberFormat="1" applyFont="1" applyBorder="1" applyAlignment="1">
      <alignment wrapText="1"/>
    </xf>
    <xf numFmtId="10" fontId="22" fillId="0" borderId="116" xfId="0" applyNumberFormat="1" applyFont="1" applyBorder="1" applyAlignment="1">
      <alignment wrapText="1"/>
    </xf>
    <xf numFmtId="3" fontId="22" fillId="0" borderId="40" xfId="0" applyNumberFormat="1" applyFont="1" applyBorder="1" applyAlignment="1">
      <alignment wrapText="1"/>
    </xf>
    <xf numFmtId="10" fontId="22" fillId="0" borderId="39" xfId="0" applyNumberFormat="1" applyFont="1" applyBorder="1" applyAlignment="1">
      <alignment wrapText="1"/>
    </xf>
    <xf numFmtId="0" fontId="0" fillId="2" borderId="36" xfId="0" applyFont="1" applyFill="1" applyBorder="1" applyAlignment="1">
      <alignment/>
    </xf>
    <xf numFmtId="10" fontId="0" fillId="0" borderId="114" xfId="0" applyNumberFormat="1" applyFont="1" applyBorder="1" applyAlignment="1">
      <alignment wrapText="1"/>
    </xf>
    <xf numFmtId="3" fontId="10" fillId="0" borderId="18" xfId="0" applyNumberFormat="1" applyFont="1" applyBorder="1" applyAlignment="1">
      <alignment wrapText="1"/>
    </xf>
    <xf numFmtId="10" fontId="10" fillId="0" borderId="109" xfId="0" applyNumberFormat="1" applyFont="1" applyBorder="1" applyAlignment="1">
      <alignment wrapText="1"/>
    </xf>
    <xf numFmtId="3" fontId="10" fillId="0" borderId="22" xfId="0" applyNumberFormat="1" applyFont="1" applyBorder="1" applyAlignment="1">
      <alignment wrapText="1"/>
    </xf>
    <xf numFmtId="10" fontId="10" fillId="0" borderId="18" xfId="0" applyNumberFormat="1" applyFont="1" applyBorder="1" applyAlignment="1">
      <alignment wrapText="1"/>
    </xf>
    <xf numFmtId="0" fontId="8" fillId="0" borderId="24" xfId="0" applyFont="1" applyBorder="1" applyAlignment="1">
      <alignment/>
    </xf>
    <xf numFmtId="0" fontId="0" fillId="2" borderId="28" xfId="0" applyFont="1" applyFill="1" applyBorder="1" applyAlignment="1">
      <alignment/>
    </xf>
    <xf numFmtId="0" fontId="10" fillId="0" borderId="24" xfId="0" applyFont="1" applyBorder="1" applyAlignment="1">
      <alignment/>
    </xf>
    <xf numFmtId="3" fontId="0" fillId="0" borderId="106" xfId="0" applyNumberFormat="1" applyFont="1" applyBorder="1" applyAlignment="1">
      <alignment wrapText="1"/>
    </xf>
    <xf numFmtId="10" fontId="0" fillId="0" borderId="125" xfId="0" applyNumberFormat="1" applyFont="1" applyBorder="1" applyAlignment="1">
      <alignment wrapText="1"/>
    </xf>
    <xf numFmtId="3" fontId="0" fillId="0" borderId="126" xfId="0" applyNumberFormat="1" applyFont="1" applyBorder="1" applyAlignment="1">
      <alignment wrapText="1"/>
    </xf>
    <xf numFmtId="10" fontId="0" fillId="0" borderId="106" xfId="0" applyNumberFormat="1" applyFont="1" applyBorder="1" applyAlignment="1">
      <alignment wrapText="1"/>
    </xf>
    <xf numFmtId="0" fontId="8" fillId="0" borderId="25" xfId="0" applyFont="1" applyBorder="1" applyAlignment="1">
      <alignment/>
    </xf>
    <xf numFmtId="10" fontId="0" fillId="0" borderId="113" xfId="0" applyNumberFormat="1" applyFont="1" applyBorder="1" applyAlignment="1">
      <alignment wrapText="1"/>
    </xf>
    <xf numFmtId="10" fontId="7" fillId="2" borderId="113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 wrapText="1"/>
    </xf>
    <xf numFmtId="10" fontId="0" fillId="0" borderId="86" xfId="0" applyNumberFormat="1" applyFont="1" applyBorder="1" applyAlignment="1">
      <alignment wrapText="1"/>
    </xf>
    <xf numFmtId="3" fontId="0" fillId="0" borderId="32" xfId="0" applyNumberFormat="1" applyFont="1" applyBorder="1" applyAlignment="1">
      <alignment wrapText="1"/>
    </xf>
    <xf numFmtId="10" fontId="0" fillId="0" borderId="31" xfId="0" applyNumberFormat="1" applyFont="1" applyBorder="1" applyAlignment="1">
      <alignment wrapText="1"/>
    </xf>
    <xf numFmtId="0" fontId="10" fillId="0" borderId="25" xfId="0" applyFont="1" applyBorder="1" applyAlignment="1">
      <alignment/>
    </xf>
    <xf numFmtId="3" fontId="5" fillId="0" borderId="40" xfId="0" applyNumberFormat="1" applyFont="1" applyBorder="1" applyAlignment="1">
      <alignment wrapText="1"/>
    </xf>
    <xf numFmtId="3" fontId="5" fillId="0" borderId="39" xfId="0" applyNumberFormat="1" applyFont="1" applyBorder="1" applyAlignment="1">
      <alignment wrapText="1"/>
    </xf>
    <xf numFmtId="10" fontId="5" fillId="0" borderId="39" xfId="0" applyNumberFormat="1" applyFont="1" applyBorder="1" applyAlignment="1">
      <alignment wrapText="1"/>
    </xf>
    <xf numFmtId="49" fontId="0" fillId="0" borderId="18" xfId="0" applyNumberFormat="1" applyFont="1" applyBorder="1" applyAlignment="1">
      <alignment horizontal="right"/>
    </xf>
    <xf numFmtId="10" fontId="0" fillId="2" borderId="115" xfId="0" applyNumberFormat="1" applyFont="1" applyFill="1" applyBorder="1" applyAlignment="1">
      <alignment/>
    </xf>
    <xf numFmtId="10" fontId="7" fillId="0" borderId="113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10" fontId="10" fillId="0" borderId="114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10" fontId="10" fillId="0" borderId="28" xfId="0" applyNumberFormat="1" applyFont="1" applyBorder="1" applyAlignment="1">
      <alignment/>
    </xf>
    <xf numFmtId="10" fontId="7" fillId="0" borderId="113" xfId="0" applyNumberFormat="1" applyFont="1" applyBorder="1" applyAlignment="1">
      <alignment/>
    </xf>
    <xf numFmtId="0" fontId="7" fillId="0" borderId="127" xfId="0" applyFont="1" applyBorder="1" applyAlignment="1">
      <alignment/>
    </xf>
    <xf numFmtId="0" fontId="0" fillId="0" borderId="1" xfId="0" applyFont="1" applyBorder="1" applyAlignment="1">
      <alignment/>
    </xf>
    <xf numFmtId="0" fontId="22" fillId="0" borderId="13" xfId="0" applyFont="1" applyBorder="1" applyAlignment="1">
      <alignment wrapText="1"/>
    </xf>
    <xf numFmtId="0" fontId="10" fillId="0" borderId="128" xfId="0" applyFont="1" applyBorder="1" applyAlignment="1">
      <alignment wrapText="1"/>
    </xf>
    <xf numFmtId="0" fontId="22" fillId="0" borderId="41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8" fillId="0" borderId="19" xfId="0" applyFont="1" applyBorder="1" applyAlignment="1">
      <alignment wrapText="1"/>
    </xf>
    <xf numFmtId="3" fontId="11" fillId="0" borderId="19" xfId="0" applyNumberFormat="1" applyFont="1" applyBorder="1" applyAlignment="1">
      <alignment wrapText="1"/>
    </xf>
    <xf numFmtId="10" fontId="11" fillId="0" borderId="112" xfId="0" applyNumberFormat="1" applyFont="1" applyBorder="1" applyAlignment="1">
      <alignment wrapText="1"/>
    </xf>
    <xf numFmtId="3" fontId="11" fillId="0" borderId="20" xfId="0" applyNumberFormat="1" applyFont="1" applyBorder="1" applyAlignment="1">
      <alignment wrapText="1"/>
    </xf>
    <xf numFmtId="10" fontId="11" fillId="0" borderId="19" xfId="0" applyNumberFormat="1" applyFont="1" applyBorder="1" applyAlignment="1">
      <alignment wrapText="1"/>
    </xf>
    <xf numFmtId="49" fontId="0" fillId="2" borderId="13" xfId="0" applyNumberFormat="1" applyFont="1" applyFill="1" applyBorder="1" applyAlignment="1">
      <alignment horizontal="right"/>
    </xf>
    <xf numFmtId="49" fontId="7" fillId="2" borderId="18" xfId="0" applyNumberFormat="1" applyFont="1" applyFill="1" applyBorder="1" applyAlignment="1" quotePrefix="1">
      <alignment horizontal="right"/>
    </xf>
    <xf numFmtId="10" fontId="7" fillId="2" borderId="109" xfId="0" applyNumberFormat="1" applyFont="1" applyFill="1" applyBorder="1" applyAlignment="1">
      <alignment wrapText="1"/>
    </xf>
    <xf numFmtId="10" fontId="7" fillId="2" borderId="18" xfId="0" applyNumberFormat="1" applyFont="1" applyFill="1" applyBorder="1" applyAlignment="1">
      <alignment wrapText="1"/>
    </xf>
    <xf numFmtId="49" fontId="0" fillId="2" borderId="24" xfId="0" applyNumberFormat="1" applyFont="1" applyFill="1" applyBorder="1" applyAlignment="1">
      <alignment horizontal="right"/>
    </xf>
    <xf numFmtId="10" fontId="0" fillId="2" borderId="114" xfId="0" applyNumberFormat="1" applyFont="1" applyFill="1" applyBorder="1" applyAlignment="1">
      <alignment wrapText="1"/>
    </xf>
    <xf numFmtId="3" fontId="0" fillId="2" borderId="29" xfId="0" applyNumberFormat="1" applyFont="1" applyFill="1" applyBorder="1" applyAlignment="1">
      <alignment wrapText="1"/>
    </xf>
    <xf numFmtId="49" fontId="10" fillId="2" borderId="18" xfId="0" applyNumberFormat="1" applyFont="1" applyFill="1" applyBorder="1" applyAlignment="1">
      <alignment horizontal="right"/>
    </xf>
    <xf numFmtId="3" fontId="22" fillId="2" borderId="18" xfId="0" applyNumberFormat="1" applyFont="1" applyFill="1" applyBorder="1" applyAlignment="1">
      <alignment wrapText="1"/>
    </xf>
    <xf numFmtId="10" fontId="22" fillId="2" borderId="109" xfId="0" applyNumberFormat="1" applyFont="1" applyFill="1" applyBorder="1" applyAlignment="1">
      <alignment wrapText="1"/>
    </xf>
    <xf numFmtId="3" fontId="22" fillId="2" borderId="22" xfId="0" applyNumberFormat="1" applyFont="1" applyFill="1" applyBorder="1" applyAlignment="1">
      <alignment wrapText="1"/>
    </xf>
    <xf numFmtId="10" fontId="22" fillId="2" borderId="18" xfId="0" applyNumberFormat="1" applyFont="1" applyFill="1" applyBorder="1" applyAlignment="1">
      <alignment wrapText="1"/>
    </xf>
    <xf numFmtId="49" fontId="0" fillId="2" borderId="18" xfId="0" applyNumberFormat="1" applyFont="1" applyFill="1" applyBorder="1" applyAlignment="1">
      <alignment horizontal="right"/>
    </xf>
    <xf numFmtId="3" fontId="0" fillId="2" borderId="18" xfId="0" applyNumberFormat="1" applyFont="1" applyFill="1" applyBorder="1" applyAlignment="1">
      <alignment wrapText="1"/>
    </xf>
    <xf numFmtId="10" fontId="0" fillId="2" borderId="109" xfId="0" applyNumberFormat="1" applyFont="1" applyFill="1" applyBorder="1" applyAlignment="1">
      <alignment wrapText="1"/>
    </xf>
    <xf numFmtId="10" fontId="0" fillId="2" borderId="18" xfId="0" applyNumberFormat="1" applyFont="1" applyFill="1" applyBorder="1" applyAlignment="1">
      <alignment wrapText="1"/>
    </xf>
    <xf numFmtId="0" fontId="15" fillId="2" borderId="0" xfId="0" applyFont="1" applyFill="1" applyAlignment="1">
      <alignment/>
    </xf>
    <xf numFmtId="0" fontId="15" fillId="0" borderId="0" xfId="0" applyFont="1" applyAlignment="1">
      <alignment/>
    </xf>
    <xf numFmtId="0" fontId="4" fillId="0" borderId="69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0" fontId="0" fillId="0" borderId="57" xfId="0" applyNumberFormat="1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 shrinkToFit="1"/>
    </xf>
    <xf numFmtId="0" fontId="0" fillId="0" borderId="57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3" fontId="4" fillId="0" borderId="3" xfId="0" applyNumberFormat="1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0" fillId="0" borderId="131" xfId="0" applyFont="1" applyBorder="1" applyAlignment="1">
      <alignment horizontal="center" vertical="center" wrapText="1"/>
    </xf>
    <xf numFmtId="0" fontId="0" fillId="0" borderId="1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57" xfId="0" applyFont="1" applyBorder="1" applyAlignment="1">
      <alignment/>
    </xf>
    <xf numFmtId="0" fontId="0" fillId="0" borderId="5" xfId="0" applyFont="1" applyBorder="1" applyAlignment="1">
      <alignment/>
    </xf>
    <xf numFmtId="3" fontId="18" fillId="0" borderId="4" xfId="0" applyNumberFormat="1" applyFont="1" applyBorder="1" applyAlignment="1">
      <alignment horizontal="center" wrapText="1"/>
    </xf>
    <xf numFmtId="0" fontId="5" fillId="0" borderId="69" xfId="0" applyFont="1" applyBorder="1" applyAlignment="1">
      <alignment/>
    </xf>
    <xf numFmtId="0" fontId="0" fillId="0" borderId="24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3" fontId="3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5" xfId="0" applyBorder="1" applyAlignment="1">
      <alignment wrapText="1"/>
    </xf>
    <xf numFmtId="0" fontId="0" fillId="2" borderId="0" xfId="0" applyFont="1" applyFill="1" applyAlignment="1">
      <alignment horizontal="center"/>
    </xf>
  </cellXfs>
  <cellStyles count="19">
    <cellStyle name="Normal" xfId="0"/>
    <cellStyle name="Comma" xfId="15"/>
    <cellStyle name="Comma [0]" xfId="16"/>
    <cellStyle name="Dziesiętny [0]_ZAL11" xfId="17"/>
    <cellStyle name="Dziesiętny [0]_ZAL12" xfId="18"/>
    <cellStyle name="Dziesiętny [0]_ZAL13" xfId="19"/>
    <cellStyle name="Dziesiętny_ZAL11" xfId="20"/>
    <cellStyle name="Dziesiętny_ZAL12" xfId="21"/>
    <cellStyle name="Dziesiętny_ZAL13" xfId="22"/>
    <cellStyle name="Normalny_plan98" xfId="23"/>
    <cellStyle name="Percent" xfId="24"/>
    <cellStyle name="Currency" xfId="25"/>
    <cellStyle name="Currency [0]" xfId="26"/>
    <cellStyle name="Walutowy [0]_ZAL11" xfId="27"/>
    <cellStyle name="Walutowy [0]_ZAL12" xfId="28"/>
    <cellStyle name="Walutowy [0]_ZAL13" xfId="29"/>
    <cellStyle name="Walutowy_ZAL11" xfId="30"/>
    <cellStyle name="Walutowy_ZAL12" xfId="31"/>
    <cellStyle name="Walutowy_ZAL13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22</xdr:row>
      <xdr:rowOff>0</xdr:rowOff>
    </xdr:from>
    <xdr:to>
      <xdr:col>1</xdr:col>
      <xdr:colOff>523875</xdr:colOff>
      <xdr:row>22</xdr:row>
      <xdr:rowOff>0</xdr:rowOff>
    </xdr:to>
    <xdr:sp>
      <xdr:nvSpPr>
        <xdr:cNvPr id="1" name="Arc 1"/>
        <xdr:cNvSpPr>
          <a:spLocks/>
        </xdr:cNvSpPr>
      </xdr:nvSpPr>
      <xdr:spPr>
        <a:xfrm>
          <a:off x="1057275" y="55816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152525" y="55816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5"/>
  <sheetViews>
    <sheetView tabSelected="1" zoomScale="75" zoomScaleNormal="75" zoomScaleSheetLayoutView="75" workbookViewId="0" topLeftCell="A1">
      <selection activeCell="F493" sqref="F493:F495"/>
    </sheetView>
  </sheetViews>
  <sheetFormatPr defaultColWidth="9.00390625" defaultRowHeight="12.75"/>
  <cols>
    <col min="1" max="1" width="8.625" style="675" customWidth="1"/>
    <col min="2" max="2" width="8.625" style="5" customWidth="1"/>
    <col min="3" max="3" width="74.625" style="2" customWidth="1"/>
    <col min="4" max="4" width="17.625" style="2" customWidth="1"/>
    <col min="5" max="6" width="17.625" style="5" customWidth="1"/>
    <col min="7" max="7" width="17.625" style="4" customWidth="1"/>
    <col min="8" max="8" width="6.875" style="5" hidden="1" customWidth="1"/>
    <col min="9" max="9" width="9.125" style="6" customWidth="1"/>
    <col min="10" max="10" width="9.125" style="7" customWidth="1"/>
    <col min="11" max="12" width="10.375" style="7" customWidth="1"/>
    <col min="13" max="14" width="9.125" style="7" customWidth="1"/>
    <col min="15" max="15" width="10.25390625" style="7" customWidth="1"/>
    <col min="16" max="16" width="9.125" style="7" customWidth="1"/>
    <col min="17" max="16384" width="9.125" style="8" customWidth="1"/>
  </cols>
  <sheetData>
    <row r="1" spans="1:37" ht="16.5" customHeight="1">
      <c r="A1" s="1" t="s">
        <v>293</v>
      </c>
      <c r="B1" s="2"/>
      <c r="E1" s="2"/>
      <c r="F1" s="3" t="s">
        <v>294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130" ht="15" customHeight="1">
      <c r="A2" s="1"/>
      <c r="B2" s="2"/>
      <c r="E2" s="2"/>
      <c r="F2" s="3" t="s">
        <v>977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</row>
    <row r="3" spans="1:130" ht="17.25" customHeight="1">
      <c r="A3" s="9"/>
      <c r="B3" s="2"/>
      <c r="C3" s="10" t="s">
        <v>296</v>
      </c>
      <c r="D3" s="7"/>
      <c r="E3" s="7"/>
      <c r="F3" s="11" t="s">
        <v>292</v>
      </c>
      <c r="G3" s="1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</row>
    <row r="4" spans="1:130" ht="15.75" customHeight="1">
      <c r="A4" s="1"/>
      <c r="B4" s="7"/>
      <c r="C4" s="7"/>
      <c r="D4" s="7"/>
      <c r="E4" s="7"/>
      <c r="F4" s="11" t="s">
        <v>978</v>
      </c>
      <c r="G4" s="12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</row>
    <row r="5" spans="1:9" s="7" customFormat="1" ht="15" thickBot="1">
      <c r="A5" s="13"/>
      <c r="B5" s="14"/>
      <c r="C5" s="2"/>
      <c r="D5" s="14"/>
      <c r="G5" s="15" t="s">
        <v>297</v>
      </c>
      <c r="H5" s="5"/>
      <c r="I5" s="6"/>
    </row>
    <row r="6" spans="1:9" s="21" customFormat="1" ht="27" customHeight="1" thickTop="1">
      <c r="A6" s="16"/>
      <c r="B6" s="17"/>
      <c r="C6" s="18" t="s">
        <v>298</v>
      </c>
      <c r="D6" s="1933" t="s">
        <v>299</v>
      </c>
      <c r="E6" s="1937" t="s">
        <v>300</v>
      </c>
      <c r="F6" s="1937" t="s">
        <v>301</v>
      </c>
      <c r="G6" s="1935" t="s">
        <v>302</v>
      </c>
      <c r="H6" s="19"/>
      <c r="I6" s="20"/>
    </row>
    <row r="7" spans="1:9" s="21" customFormat="1" ht="37.5" customHeight="1" thickBot="1">
      <c r="A7" s="22" t="s">
        <v>303</v>
      </c>
      <c r="B7" s="23" t="s">
        <v>304</v>
      </c>
      <c r="C7" s="23" t="s">
        <v>305</v>
      </c>
      <c r="D7" s="1934"/>
      <c r="E7" s="1938"/>
      <c r="F7" s="1938"/>
      <c r="G7" s="1936"/>
      <c r="H7" s="24" t="s">
        <v>306</v>
      </c>
      <c r="I7" s="20"/>
    </row>
    <row r="8" spans="1:9" s="30" customFormat="1" ht="13.5" customHeight="1" thickBot="1" thickTop="1">
      <c r="A8" s="25">
        <v>1</v>
      </c>
      <c r="B8" s="25">
        <v>2</v>
      </c>
      <c r="C8" s="25">
        <v>3</v>
      </c>
      <c r="D8" s="26">
        <v>4</v>
      </c>
      <c r="E8" s="26">
        <v>5</v>
      </c>
      <c r="F8" s="26">
        <v>6</v>
      </c>
      <c r="G8" s="27">
        <v>7</v>
      </c>
      <c r="H8" s="28">
        <v>15</v>
      </c>
      <c r="I8" s="29"/>
    </row>
    <row r="9" spans="1:9" s="7" customFormat="1" ht="24" customHeight="1" thickBot="1" thickTop="1">
      <c r="A9" s="31"/>
      <c r="B9" s="32"/>
      <c r="C9" s="33" t="s">
        <v>307</v>
      </c>
      <c r="D9" s="34">
        <f>D11+D268</f>
        <v>629150225</v>
      </c>
      <c r="E9" s="35">
        <f>E11+E268</f>
        <v>649849394</v>
      </c>
      <c r="F9" s="35">
        <f>F11+F268</f>
        <v>634548740</v>
      </c>
      <c r="G9" s="36">
        <f>F9/E9</f>
        <v>0.97645507691279</v>
      </c>
      <c r="H9" s="37"/>
      <c r="I9" s="6"/>
    </row>
    <row r="10" spans="1:9" s="7" customFormat="1" ht="11.25" customHeight="1">
      <c r="A10" s="38"/>
      <c r="B10" s="39"/>
      <c r="C10" s="39" t="s">
        <v>308</v>
      </c>
      <c r="D10" s="40"/>
      <c r="E10" s="40"/>
      <c r="F10" s="40"/>
      <c r="G10" s="41"/>
      <c r="H10" s="42"/>
      <c r="I10" s="6"/>
    </row>
    <row r="11" spans="1:9" s="7" customFormat="1" ht="16.5" customHeight="1" thickBot="1">
      <c r="A11" s="43"/>
      <c r="B11" s="44"/>
      <c r="C11" s="45" t="s">
        <v>309</v>
      </c>
      <c r="D11" s="46">
        <f>D12+D173+D186+D211+D221</f>
        <v>434415033</v>
      </c>
      <c r="E11" s="47">
        <f>E12+E173+E186+E211+E221</f>
        <v>444668383</v>
      </c>
      <c r="F11" s="47">
        <f>F12+F173+F186+F211+F221</f>
        <v>432429398</v>
      </c>
      <c r="G11" s="48">
        <f aca="true" t="shared" si="0" ref="G11:G30">F11/E11</f>
        <v>0.972476151964238</v>
      </c>
      <c r="H11" s="49"/>
      <c r="I11" s="6"/>
    </row>
    <row r="12" spans="1:9" s="7" customFormat="1" ht="18.75" customHeight="1" thickBot="1">
      <c r="A12" s="50"/>
      <c r="B12" s="51"/>
      <c r="C12" s="52" t="s">
        <v>310</v>
      </c>
      <c r="D12" s="53">
        <f>D13+D16+D36+D50+D89+D96+D109+D112+D138+D157+D32+D47</f>
        <v>289383820</v>
      </c>
      <c r="E12" s="54">
        <f>E13+E16+E36+E50+E89+E96+E109+E112+E138+E157+E32+E47</f>
        <v>289703863</v>
      </c>
      <c r="F12" s="54">
        <f>F13+F16+F36+F50+F89+F96+F109+F112+F138+F157+F32+F47</f>
        <v>277463911</v>
      </c>
      <c r="G12" s="55">
        <f t="shared" si="0"/>
        <v>0.9577501249957444</v>
      </c>
      <c r="H12" s="56"/>
      <c r="I12" s="6"/>
    </row>
    <row r="13" spans="1:9" s="7" customFormat="1" ht="19.5" customHeight="1" thickTop="1">
      <c r="A13" s="57" t="s">
        <v>311</v>
      </c>
      <c r="B13" s="58"/>
      <c r="C13" s="59" t="s">
        <v>312</v>
      </c>
      <c r="D13" s="60">
        <f>D14</f>
        <v>230</v>
      </c>
      <c r="E13" s="61">
        <f>E14</f>
        <v>230</v>
      </c>
      <c r="F13" s="61">
        <f>F14</f>
        <v>171</v>
      </c>
      <c r="G13" s="62">
        <f t="shared" si="0"/>
        <v>0.7434782608695653</v>
      </c>
      <c r="H13" s="63">
        <v>18</v>
      </c>
      <c r="I13" s="6"/>
    </row>
    <row r="14" spans="1:9" s="7" customFormat="1" ht="19.5" customHeight="1">
      <c r="A14" s="64"/>
      <c r="B14" s="65" t="s">
        <v>313</v>
      </c>
      <c r="C14" s="66" t="s">
        <v>314</v>
      </c>
      <c r="D14" s="67">
        <v>230</v>
      </c>
      <c r="E14" s="67">
        <v>230</v>
      </c>
      <c r="F14" s="67">
        <f>F15</f>
        <v>171</v>
      </c>
      <c r="G14" s="68">
        <f t="shared" si="0"/>
        <v>0.7434782608695653</v>
      </c>
      <c r="H14" s="69">
        <v>18</v>
      </c>
      <c r="I14" s="6"/>
    </row>
    <row r="15" spans="1:9" s="7" customFormat="1" ht="19.5" customHeight="1">
      <c r="A15" s="50"/>
      <c r="B15" s="70"/>
      <c r="C15" s="71" t="s">
        <v>315</v>
      </c>
      <c r="D15" s="72">
        <v>230</v>
      </c>
      <c r="E15" s="72">
        <v>230</v>
      </c>
      <c r="F15" s="72">
        <v>171</v>
      </c>
      <c r="G15" s="73">
        <f t="shared" si="0"/>
        <v>0.7434782608695653</v>
      </c>
      <c r="H15" s="74">
        <v>18</v>
      </c>
      <c r="I15" s="6"/>
    </row>
    <row r="16" spans="1:9" s="7" customFormat="1" ht="19.5" customHeight="1">
      <c r="A16" s="75">
        <v>700</v>
      </c>
      <c r="B16" s="59"/>
      <c r="C16" s="76" t="s">
        <v>316</v>
      </c>
      <c r="D16" s="60">
        <f>D17+D19</f>
        <v>35457000</v>
      </c>
      <c r="E16" s="61">
        <f>E17+E19</f>
        <v>35377343</v>
      </c>
      <c r="F16" s="61">
        <f>F17+F19</f>
        <v>30668510</v>
      </c>
      <c r="G16" s="77">
        <f t="shared" si="0"/>
        <v>0.8668969289186019</v>
      </c>
      <c r="H16" s="63">
        <v>15735174</v>
      </c>
      <c r="I16" s="6"/>
    </row>
    <row r="17" spans="1:9" s="2" customFormat="1" ht="19.5" customHeight="1">
      <c r="A17" s="78"/>
      <c r="B17" s="79">
        <v>70001</v>
      </c>
      <c r="C17" s="80" t="s">
        <v>317</v>
      </c>
      <c r="D17" s="81">
        <f>D18</f>
        <v>8000</v>
      </c>
      <c r="E17" s="82">
        <f>E18</f>
        <v>8000</v>
      </c>
      <c r="F17" s="82">
        <f>F18</f>
        <v>4604</v>
      </c>
      <c r="G17" s="83">
        <f t="shared" si="0"/>
        <v>0.5755</v>
      </c>
      <c r="H17" s="84"/>
      <c r="I17" s="85"/>
    </row>
    <row r="18" spans="1:9" s="2" customFormat="1" ht="19.5" customHeight="1">
      <c r="A18" s="78"/>
      <c r="B18" s="79"/>
      <c r="C18" s="86" t="s">
        <v>318</v>
      </c>
      <c r="D18" s="87">
        <v>8000</v>
      </c>
      <c r="E18" s="87">
        <v>8000</v>
      </c>
      <c r="F18" s="87">
        <v>4604</v>
      </c>
      <c r="G18" s="88">
        <f t="shared" si="0"/>
        <v>0.5755</v>
      </c>
      <c r="H18" s="84"/>
      <c r="I18" s="85"/>
    </row>
    <row r="19" spans="1:9" s="7" customFormat="1" ht="19.5" customHeight="1">
      <c r="A19" s="89"/>
      <c r="B19" s="66">
        <v>70005</v>
      </c>
      <c r="C19" s="90" t="s">
        <v>319</v>
      </c>
      <c r="D19" s="81">
        <f>D20+D21+D22+D23+D24+D25+D26+D27+D28+D29+D30</f>
        <v>35449000</v>
      </c>
      <c r="E19" s="82">
        <f>E20+E21+E22+E23+E24+E25+E26+E27+E28+E29+E30</f>
        <v>35369343</v>
      </c>
      <c r="F19" s="82">
        <f>F20+F21+F22+F23+F24+F25+F26+F27+F28+F29+F30+F31</f>
        <v>30663906</v>
      </c>
      <c r="G19" s="83">
        <f t="shared" si="0"/>
        <v>0.8669628384106541</v>
      </c>
      <c r="H19" s="91">
        <v>15735174</v>
      </c>
      <c r="I19" s="6"/>
    </row>
    <row r="20" spans="1:9" s="7" customFormat="1" ht="19.5" customHeight="1">
      <c r="A20" s="89"/>
      <c r="B20" s="92"/>
      <c r="C20" s="93" t="s">
        <v>320</v>
      </c>
      <c r="D20" s="94">
        <v>11500000</v>
      </c>
      <c r="E20" s="94">
        <f>11500000-879657</f>
        <v>10620343</v>
      </c>
      <c r="F20" s="94">
        <v>10637166</v>
      </c>
      <c r="G20" s="95">
        <f t="shared" si="0"/>
        <v>1.0015840354685344</v>
      </c>
      <c r="H20" s="96">
        <v>5990200</v>
      </c>
      <c r="I20" s="6"/>
    </row>
    <row r="21" spans="1:9" s="7" customFormat="1" ht="19.5" customHeight="1">
      <c r="A21" s="89"/>
      <c r="B21" s="97"/>
      <c r="C21" s="98" t="s">
        <v>321</v>
      </c>
      <c r="D21" s="99">
        <v>4000</v>
      </c>
      <c r="E21" s="99">
        <v>4000</v>
      </c>
      <c r="F21" s="99">
        <v>176</v>
      </c>
      <c r="G21" s="100">
        <f t="shared" si="0"/>
        <v>0.044</v>
      </c>
      <c r="H21" s="101">
        <v>2396</v>
      </c>
      <c r="I21" s="6"/>
    </row>
    <row r="22" spans="1:9" s="7" customFormat="1" ht="19.5" customHeight="1">
      <c r="A22" s="89"/>
      <c r="B22" s="97"/>
      <c r="C22" s="98" t="s">
        <v>322</v>
      </c>
      <c r="D22" s="99">
        <v>3200000</v>
      </c>
      <c r="E22" s="99">
        <v>3200000</v>
      </c>
      <c r="F22" s="99">
        <v>3204420</v>
      </c>
      <c r="G22" s="100">
        <f t="shared" si="0"/>
        <v>1.00138125</v>
      </c>
      <c r="H22" s="102">
        <v>1135677</v>
      </c>
      <c r="I22" s="6"/>
    </row>
    <row r="23" spans="1:9" s="7" customFormat="1" ht="19.5" customHeight="1">
      <c r="A23" s="38"/>
      <c r="B23" s="97"/>
      <c r="C23" s="103" t="s">
        <v>323</v>
      </c>
      <c r="D23" s="99">
        <v>3300000</v>
      </c>
      <c r="E23" s="99">
        <v>3300000</v>
      </c>
      <c r="F23" s="99">
        <v>3747217</v>
      </c>
      <c r="G23" s="100">
        <f t="shared" si="0"/>
        <v>1.135520303030303</v>
      </c>
      <c r="H23" s="104">
        <v>1592206</v>
      </c>
      <c r="I23" s="6"/>
    </row>
    <row r="24" spans="1:9" s="7" customFormat="1" ht="19.5" customHeight="1">
      <c r="A24" s="105"/>
      <c r="B24" s="97"/>
      <c r="C24" s="106" t="s">
        <v>324</v>
      </c>
      <c r="D24" s="107">
        <v>500000</v>
      </c>
      <c r="E24" s="107">
        <v>500000</v>
      </c>
      <c r="F24" s="107">
        <v>722149</v>
      </c>
      <c r="G24" s="108">
        <f t="shared" si="0"/>
        <v>1.444298</v>
      </c>
      <c r="H24" s="109">
        <v>69920</v>
      </c>
      <c r="I24" s="6"/>
    </row>
    <row r="25" spans="1:256" s="7" customFormat="1" ht="19.5" customHeight="1">
      <c r="A25" s="89" t="s">
        <v>293</v>
      </c>
      <c r="B25" s="97"/>
      <c r="C25" s="98" t="s">
        <v>325</v>
      </c>
      <c r="D25" s="99">
        <v>5000000</v>
      </c>
      <c r="E25" s="99">
        <v>5000000</v>
      </c>
      <c r="F25" s="99">
        <v>5396392</v>
      </c>
      <c r="G25" s="100">
        <f t="shared" si="0"/>
        <v>1.0792784</v>
      </c>
      <c r="H25" s="110">
        <v>510862</v>
      </c>
      <c r="I25" s="111"/>
      <c r="J25" s="2"/>
      <c r="K25" s="112"/>
      <c r="L25" s="112"/>
      <c r="M25" s="112"/>
      <c r="N25" s="113"/>
      <c r="O25" s="114"/>
      <c r="P25" s="115"/>
      <c r="Q25" s="2"/>
      <c r="R25" s="112"/>
      <c r="S25" s="112"/>
      <c r="T25" s="112"/>
      <c r="U25" s="113"/>
      <c r="V25" s="114"/>
      <c r="W25" s="115"/>
      <c r="X25" s="2"/>
      <c r="Y25" s="112"/>
      <c r="Z25" s="112"/>
      <c r="AA25" s="112"/>
      <c r="AB25" s="113"/>
      <c r="AC25" s="114"/>
      <c r="AD25" s="115"/>
      <c r="AE25" s="2"/>
      <c r="AF25" s="112"/>
      <c r="AG25" s="112"/>
      <c r="AH25" s="112"/>
      <c r="AI25" s="113"/>
      <c r="AJ25" s="114"/>
      <c r="AK25" s="115"/>
      <c r="AL25" s="2"/>
      <c r="AM25" s="112"/>
      <c r="AN25" s="112"/>
      <c r="AO25" s="112"/>
      <c r="AP25" s="113"/>
      <c r="AQ25" s="114"/>
      <c r="AR25" s="115"/>
      <c r="AS25" s="2"/>
      <c r="AT25" s="112"/>
      <c r="AU25" s="112"/>
      <c r="AV25" s="112"/>
      <c r="AW25" s="113"/>
      <c r="AX25" s="114"/>
      <c r="AY25" s="115"/>
      <c r="AZ25" s="2"/>
      <c r="BA25" s="112"/>
      <c r="BB25" s="112"/>
      <c r="BC25" s="112"/>
      <c r="BD25" s="113"/>
      <c r="BE25" s="114"/>
      <c r="BF25" s="115"/>
      <c r="BG25" s="2"/>
      <c r="BH25" s="112"/>
      <c r="BI25" s="112"/>
      <c r="BJ25" s="112"/>
      <c r="BK25" s="113"/>
      <c r="BL25" s="114"/>
      <c r="BM25" s="115"/>
      <c r="BN25" s="2"/>
      <c r="BO25" s="112"/>
      <c r="BP25" s="112"/>
      <c r="BQ25" s="112"/>
      <c r="BR25" s="113"/>
      <c r="BS25" s="114"/>
      <c r="BT25" s="115"/>
      <c r="BU25" s="2"/>
      <c r="BV25" s="112"/>
      <c r="BW25" s="112"/>
      <c r="BX25" s="112"/>
      <c r="BY25" s="113"/>
      <c r="BZ25" s="114"/>
      <c r="CA25" s="115"/>
      <c r="CB25" s="2"/>
      <c r="CC25" s="112"/>
      <c r="CD25" s="112"/>
      <c r="CE25" s="112"/>
      <c r="CF25" s="113"/>
      <c r="CG25" s="114"/>
      <c r="CH25" s="115"/>
      <c r="CI25" s="2"/>
      <c r="CJ25" s="112"/>
      <c r="CK25" s="112"/>
      <c r="CL25" s="112"/>
      <c r="CM25" s="113"/>
      <c r="CN25" s="114"/>
      <c r="CO25" s="115"/>
      <c r="CP25" s="2"/>
      <c r="CQ25" s="112"/>
      <c r="CR25" s="112"/>
      <c r="CS25" s="112"/>
      <c r="CT25" s="113"/>
      <c r="CU25" s="114"/>
      <c r="CV25" s="115"/>
      <c r="CW25" s="2"/>
      <c r="CX25" s="112"/>
      <c r="CY25" s="112"/>
      <c r="CZ25" s="112"/>
      <c r="DA25" s="113"/>
      <c r="DB25" s="114"/>
      <c r="DC25" s="115"/>
      <c r="DD25" s="2"/>
      <c r="DE25" s="112"/>
      <c r="DF25" s="112"/>
      <c r="DG25" s="112"/>
      <c r="DH25" s="113"/>
      <c r="DI25" s="114"/>
      <c r="DJ25" s="115"/>
      <c r="DK25" s="2"/>
      <c r="DL25" s="112"/>
      <c r="DM25" s="112"/>
      <c r="DN25" s="112"/>
      <c r="DO25" s="113"/>
      <c r="DP25" s="114"/>
      <c r="DQ25" s="115"/>
      <c r="DR25" s="2"/>
      <c r="DS25" s="112"/>
      <c r="DT25" s="112"/>
      <c r="DU25" s="112"/>
      <c r="DV25" s="113"/>
      <c r="DW25" s="114"/>
      <c r="DX25" s="115"/>
      <c r="DY25" s="2"/>
      <c r="DZ25" s="112"/>
      <c r="EA25" s="112"/>
      <c r="EB25" s="112"/>
      <c r="EC25" s="113"/>
      <c r="ED25" s="114"/>
      <c r="EE25" s="115"/>
      <c r="EF25" s="2"/>
      <c r="EG25" s="112"/>
      <c r="EH25" s="112"/>
      <c r="EI25" s="112"/>
      <c r="EJ25" s="113"/>
      <c r="EK25" s="114"/>
      <c r="EL25" s="115"/>
      <c r="EM25" s="2"/>
      <c r="EN25" s="112"/>
      <c r="EO25" s="112"/>
      <c r="EP25" s="112"/>
      <c r="EQ25" s="113"/>
      <c r="ER25" s="114"/>
      <c r="ES25" s="115"/>
      <c r="ET25" s="2"/>
      <c r="EU25" s="112"/>
      <c r="EV25" s="112"/>
      <c r="EW25" s="112"/>
      <c r="EX25" s="113"/>
      <c r="EY25" s="114"/>
      <c r="EZ25" s="115"/>
      <c r="FA25" s="2"/>
      <c r="FB25" s="112"/>
      <c r="FC25" s="112"/>
      <c r="FD25" s="112"/>
      <c r="FE25" s="113"/>
      <c r="FF25" s="114"/>
      <c r="FG25" s="115"/>
      <c r="FH25" s="2"/>
      <c r="FI25" s="112"/>
      <c r="FJ25" s="112"/>
      <c r="FK25" s="112"/>
      <c r="FL25" s="113"/>
      <c r="FM25" s="114"/>
      <c r="FN25" s="115"/>
      <c r="FO25" s="2"/>
      <c r="FP25" s="112"/>
      <c r="FQ25" s="112"/>
      <c r="FR25" s="112"/>
      <c r="FS25" s="113"/>
      <c r="FT25" s="114"/>
      <c r="FU25" s="115"/>
      <c r="FV25" s="2"/>
      <c r="FW25" s="112"/>
      <c r="FX25" s="112"/>
      <c r="FY25" s="112"/>
      <c r="FZ25" s="113"/>
      <c r="GA25" s="114"/>
      <c r="GB25" s="115"/>
      <c r="GC25" s="2"/>
      <c r="GD25" s="112"/>
      <c r="GE25" s="112"/>
      <c r="GF25" s="112"/>
      <c r="GG25" s="113"/>
      <c r="GH25" s="114"/>
      <c r="GI25" s="115"/>
      <c r="GJ25" s="2"/>
      <c r="GK25" s="112"/>
      <c r="GL25" s="112"/>
      <c r="GM25" s="112"/>
      <c r="GN25" s="113"/>
      <c r="GO25" s="114"/>
      <c r="GP25" s="115"/>
      <c r="GQ25" s="2"/>
      <c r="GR25" s="112"/>
      <c r="GS25" s="112"/>
      <c r="GT25" s="112"/>
      <c r="GU25" s="113"/>
      <c r="GV25" s="114"/>
      <c r="GW25" s="115"/>
      <c r="GX25" s="2"/>
      <c r="GY25" s="112"/>
      <c r="GZ25" s="112"/>
      <c r="HA25" s="112"/>
      <c r="HB25" s="113"/>
      <c r="HC25" s="114"/>
      <c r="HD25" s="115"/>
      <c r="HE25" s="2"/>
      <c r="HF25" s="112"/>
      <c r="HG25" s="112"/>
      <c r="HH25" s="112"/>
      <c r="HI25" s="113"/>
      <c r="HJ25" s="114"/>
      <c r="HK25" s="115"/>
      <c r="HL25" s="2"/>
      <c r="HM25" s="112"/>
      <c r="HN25" s="112"/>
      <c r="HO25" s="112"/>
      <c r="HP25" s="113"/>
      <c r="HQ25" s="114"/>
      <c r="HR25" s="115"/>
      <c r="HS25" s="2"/>
      <c r="HT25" s="112"/>
      <c r="HU25" s="112"/>
      <c r="HV25" s="112"/>
      <c r="HW25" s="113"/>
      <c r="HX25" s="114"/>
      <c r="HY25" s="115"/>
      <c r="HZ25" s="2"/>
      <c r="IA25" s="112"/>
      <c r="IB25" s="112"/>
      <c r="IC25" s="112"/>
      <c r="ID25" s="113"/>
      <c r="IE25" s="114"/>
      <c r="IF25" s="115"/>
      <c r="IG25" s="2"/>
      <c r="IH25" s="112"/>
      <c r="II25" s="112"/>
      <c r="IJ25" s="112"/>
      <c r="IK25" s="113"/>
      <c r="IL25" s="114"/>
      <c r="IM25" s="115"/>
      <c r="IN25" s="2"/>
      <c r="IO25" s="112"/>
      <c r="IP25" s="112"/>
      <c r="IQ25" s="112"/>
      <c r="IR25" s="113"/>
      <c r="IS25" s="114"/>
      <c r="IT25" s="115"/>
      <c r="IU25" s="2"/>
      <c r="IV25" s="112"/>
    </row>
    <row r="26" spans="1:256" s="7" customFormat="1" ht="27.75" customHeight="1">
      <c r="A26" s="38"/>
      <c r="B26" s="97"/>
      <c r="C26" s="103" t="s">
        <v>326</v>
      </c>
      <c r="D26" s="99">
        <v>150000</v>
      </c>
      <c r="E26" s="99">
        <v>150000</v>
      </c>
      <c r="F26" s="99">
        <v>111272</v>
      </c>
      <c r="G26" s="100">
        <f t="shared" si="0"/>
        <v>0.7418133333333333</v>
      </c>
      <c r="H26" s="116">
        <v>92550</v>
      </c>
      <c r="I26" s="111"/>
      <c r="J26" s="117"/>
      <c r="K26" s="112"/>
      <c r="L26" s="112"/>
      <c r="M26" s="112"/>
      <c r="N26" s="113"/>
      <c r="O26" s="1"/>
      <c r="P26" s="115"/>
      <c r="Q26" s="117"/>
      <c r="R26" s="112"/>
      <c r="S26" s="112"/>
      <c r="T26" s="112"/>
      <c r="U26" s="113"/>
      <c r="V26" s="1"/>
      <c r="W26" s="115"/>
      <c r="X26" s="117"/>
      <c r="Y26" s="112"/>
      <c r="Z26" s="112"/>
      <c r="AA26" s="112"/>
      <c r="AB26" s="113"/>
      <c r="AC26" s="1"/>
      <c r="AD26" s="115"/>
      <c r="AE26" s="117"/>
      <c r="AF26" s="112"/>
      <c r="AG26" s="112"/>
      <c r="AH26" s="112"/>
      <c r="AI26" s="113"/>
      <c r="AJ26" s="1"/>
      <c r="AK26" s="115"/>
      <c r="AL26" s="117"/>
      <c r="AM26" s="112"/>
      <c r="AN26" s="112"/>
      <c r="AO26" s="112"/>
      <c r="AP26" s="113"/>
      <c r="AQ26" s="1"/>
      <c r="AR26" s="115"/>
      <c r="AS26" s="117"/>
      <c r="AT26" s="112"/>
      <c r="AU26" s="112"/>
      <c r="AV26" s="112"/>
      <c r="AW26" s="113"/>
      <c r="AX26" s="1"/>
      <c r="AY26" s="115"/>
      <c r="AZ26" s="117"/>
      <c r="BA26" s="112"/>
      <c r="BB26" s="112"/>
      <c r="BC26" s="112"/>
      <c r="BD26" s="113"/>
      <c r="BE26" s="1"/>
      <c r="BF26" s="115"/>
      <c r="BG26" s="117"/>
      <c r="BH26" s="112"/>
      <c r="BI26" s="112"/>
      <c r="BJ26" s="112"/>
      <c r="BK26" s="113"/>
      <c r="BL26" s="1"/>
      <c r="BM26" s="115"/>
      <c r="BN26" s="117"/>
      <c r="BO26" s="112"/>
      <c r="BP26" s="112"/>
      <c r="BQ26" s="112"/>
      <c r="BR26" s="113"/>
      <c r="BS26" s="1"/>
      <c r="BT26" s="115"/>
      <c r="BU26" s="117"/>
      <c r="BV26" s="112"/>
      <c r="BW26" s="112"/>
      <c r="BX26" s="112"/>
      <c r="BY26" s="113"/>
      <c r="BZ26" s="1"/>
      <c r="CA26" s="115"/>
      <c r="CB26" s="117"/>
      <c r="CC26" s="112"/>
      <c r="CD26" s="112"/>
      <c r="CE26" s="112"/>
      <c r="CF26" s="113"/>
      <c r="CG26" s="1"/>
      <c r="CH26" s="115"/>
      <c r="CI26" s="117"/>
      <c r="CJ26" s="112"/>
      <c r="CK26" s="112"/>
      <c r="CL26" s="112"/>
      <c r="CM26" s="113"/>
      <c r="CN26" s="1"/>
      <c r="CO26" s="115"/>
      <c r="CP26" s="117"/>
      <c r="CQ26" s="112"/>
      <c r="CR26" s="112"/>
      <c r="CS26" s="112"/>
      <c r="CT26" s="113"/>
      <c r="CU26" s="1"/>
      <c r="CV26" s="115"/>
      <c r="CW26" s="117"/>
      <c r="CX26" s="112"/>
      <c r="CY26" s="112"/>
      <c r="CZ26" s="112"/>
      <c r="DA26" s="113"/>
      <c r="DB26" s="1"/>
      <c r="DC26" s="115"/>
      <c r="DD26" s="117"/>
      <c r="DE26" s="112"/>
      <c r="DF26" s="112"/>
      <c r="DG26" s="112"/>
      <c r="DH26" s="113"/>
      <c r="DI26" s="1"/>
      <c r="DJ26" s="115"/>
      <c r="DK26" s="117"/>
      <c r="DL26" s="112"/>
      <c r="DM26" s="112"/>
      <c r="DN26" s="112"/>
      <c r="DO26" s="113"/>
      <c r="DP26" s="1"/>
      <c r="DQ26" s="115"/>
      <c r="DR26" s="117"/>
      <c r="DS26" s="112"/>
      <c r="DT26" s="112"/>
      <c r="DU26" s="112"/>
      <c r="DV26" s="113"/>
      <c r="DW26" s="1"/>
      <c r="DX26" s="115"/>
      <c r="DY26" s="117"/>
      <c r="DZ26" s="112"/>
      <c r="EA26" s="112"/>
      <c r="EB26" s="112"/>
      <c r="EC26" s="113"/>
      <c r="ED26" s="1"/>
      <c r="EE26" s="115"/>
      <c r="EF26" s="117"/>
      <c r="EG26" s="112"/>
      <c r="EH26" s="112"/>
      <c r="EI26" s="112"/>
      <c r="EJ26" s="113"/>
      <c r="EK26" s="1"/>
      <c r="EL26" s="115"/>
      <c r="EM26" s="117"/>
      <c r="EN26" s="112"/>
      <c r="EO26" s="112"/>
      <c r="EP26" s="112"/>
      <c r="EQ26" s="113"/>
      <c r="ER26" s="1"/>
      <c r="ES26" s="115"/>
      <c r="ET26" s="117"/>
      <c r="EU26" s="112"/>
      <c r="EV26" s="112"/>
      <c r="EW26" s="112"/>
      <c r="EX26" s="113"/>
      <c r="EY26" s="1"/>
      <c r="EZ26" s="115"/>
      <c r="FA26" s="117"/>
      <c r="FB26" s="112"/>
      <c r="FC26" s="112"/>
      <c r="FD26" s="112"/>
      <c r="FE26" s="113"/>
      <c r="FF26" s="1"/>
      <c r="FG26" s="115"/>
      <c r="FH26" s="117"/>
      <c r="FI26" s="112"/>
      <c r="FJ26" s="112"/>
      <c r="FK26" s="112"/>
      <c r="FL26" s="113"/>
      <c r="FM26" s="1"/>
      <c r="FN26" s="115"/>
      <c r="FO26" s="117"/>
      <c r="FP26" s="112"/>
      <c r="FQ26" s="112"/>
      <c r="FR26" s="112"/>
      <c r="FS26" s="113"/>
      <c r="FT26" s="1"/>
      <c r="FU26" s="115"/>
      <c r="FV26" s="117"/>
      <c r="FW26" s="112"/>
      <c r="FX26" s="112"/>
      <c r="FY26" s="112"/>
      <c r="FZ26" s="113"/>
      <c r="GA26" s="1"/>
      <c r="GB26" s="115"/>
      <c r="GC26" s="117"/>
      <c r="GD26" s="112"/>
      <c r="GE26" s="112"/>
      <c r="GF26" s="112"/>
      <c r="GG26" s="113"/>
      <c r="GH26" s="1"/>
      <c r="GI26" s="115"/>
      <c r="GJ26" s="117"/>
      <c r="GK26" s="112"/>
      <c r="GL26" s="112"/>
      <c r="GM26" s="112"/>
      <c r="GN26" s="113"/>
      <c r="GO26" s="1"/>
      <c r="GP26" s="115"/>
      <c r="GQ26" s="117"/>
      <c r="GR26" s="112"/>
      <c r="GS26" s="112"/>
      <c r="GT26" s="112"/>
      <c r="GU26" s="113"/>
      <c r="GV26" s="1"/>
      <c r="GW26" s="115"/>
      <c r="GX26" s="117"/>
      <c r="GY26" s="112"/>
      <c r="GZ26" s="112"/>
      <c r="HA26" s="112"/>
      <c r="HB26" s="113"/>
      <c r="HC26" s="1"/>
      <c r="HD26" s="115"/>
      <c r="HE26" s="117"/>
      <c r="HF26" s="112"/>
      <c r="HG26" s="112"/>
      <c r="HH26" s="112"/>
      <c r="HI26" s="113"/>
      <c r="HJ26" s="1"/>
      <c r="HK26" s="115"/>
      <c r="HL26" s="117"/>
      <c r="HM26" s="112"/>
      <c r="HN26" s="112"/>
      <c r="HO26" s="112"/>
      <c r="HP26" s="113"/>
      <c r="HQ26" s="1"/>
      <c r="HR26" s="115"/>
      <c r="HS26" s="117"/>
      <c r="HT26" s="112"/>
      <c r="HU26" s="112"/>
      <c r="HV26" s="112"/>
      <c r="HW26" s="113"/>
      <c r="HX26" s="1"/>
      <c r="HY26" s="115"/>
      <c r="HZ26" s="117"/>
      <c r="IA26" s="112"/>
      <c r="IB26" s="112"/>
      <c r="IC26" s="112"/>
      <c r="ID26" s="113"/>
      <c r="IE26" s="1"/>
      <c r="IF26" s="115"/>
      <c r="IG26" s="117"/>
      <c r="IH26" s="112"/>
      <c r="II26" s="112"/>
      <c r="IJ26" s="112"/>
      <c r="IK26" s="113"/>
      <c r="IL26" s="1"/>
      <c r="IM26" s="115"/>
      <c r="IN26" s="117"/>
      <c r="IO26" s="112"/>
      <c r="IP26" s="112"/>
      <c r="IQ26" s="112"/>
      <c r="IR26" s="113"/>
      <c r="IS26" s="1"/>
      <c r="IT26" s="115"/>
      <c r="IU26" s="117"/>
      <c r="IV26" s="112"/>
    </row>
    <row r="27" spans="1:256" s="7" customFormat="1" ht="19.5" customHeight="1">
      <c r="A27" s="89"/>
      <c r="B27" s="97"/>
      <c r="C27" s="98" t="s">
        <v>327</v>
      </c>
      <c r="D27" s="99">
        <v>3000000</v>
      </c>
      <c r="E27" s="99">
        <v>3000000</v>
      </c>
      <c r="F27" s="99">
        <v>3565596</v>
      </c>
      <c r="G27" s="100">
        <f t="shared" si="0"/>
        <v>1.188532</v>
      </c>
      <c r="H27" s="110"/>
      <c r="I27" s="111"/>
      <c r="J27" s="2"/>
      <c r="K27" s="112"/>
      <c r="L27" s="112"/>
      <c r="M27" s="112"/>
      <c r="N27" s="113"/>
      <c r="O27" s="114"/>
      <c r="P27" s="115"/>
      <c r="Q27" s="2"/>
      <c r="R27" s="112"/>
      <c r="S27" s="112"/>
      <c r="T27" s="112"/>
      <c r="U27" s="113"/>
      <c r="V27" s="114"/>
      <c r="W27" s="115"/>
      <c r="X27" s="2"/>
      <c r="Y27" s="112"/>
      <c r="Z27" s="112"/>
      <c r="AA27" s="112"/>
      <c r="AB27" s="113"/>
      <c r="AC27" s="114"/>
      <c r="AD27" s="115"/>
      <c r="AE27" s="2"/>
      <c r="AF27" s="112"/>
      <c r="AG27" s="112"/>
      <c r="AH27" s="112"/>
      <c r="AI27" s="113"/>
      <c r="AJ27" s="114"/>
      <c r="AK27" s="115"/>
      <c r="AL27" s="2"/>
      <c r="AM27" s="112"/>
      <c r="AN27" s="112"/>
      <c r="AO27" s="112"/>
      <c r="AP27" s="113"/>
      <c r="AQ27" s="114"/>
      <c r="AR27" s="115"/>
      <c r="AS27" s="2"/>
      <c r="AT27" s="112"/>
      <c r="AU27" s="112"/>
      <c r="AV27" s="112"/>
      <c r="AW27" s="113"/>
      <c r="AX27" s="114"/>
      <c r="AY27" s="115"/>
      <c r="AZ27" s="2"/>
      <c r="BA27" s="112"/>
      <c r="BB27" s="112"/>
      <c r="BC27" s="112"/>
      <c r="BD27" s="113"/>
      <c r="BE27" s="114"/>
      <c r="BF27" s="115"/>
      <c r="BG27" s="2"/>
      <c r="BH27" s="112"/>
      <c r="BI27" s="112"/>
      <c r="BJ27" s="112"/>
      <c r="BK27" s="113"/>
      <c r="BL27" s="114"/>
      <c r="BM27" s="115"/>
      <c r="BN27" s="2"/>
      <c r="BO27" s="112"/>
      <c r="BP27" s="112"/>
      <c r="BQ27" s="112"/>
      <c r="BR27" s="113"/>
      <c r="BS27" s="114"/>
      <c r="BT27" s="115"/>
      <c r="BU27" s="2"/>
      <c r="BV27" s="112"/>
      <c r="BW27" s="112"/>
      <c r="BX27" s="112"/>
      <c r="BY27" s="113"/>
      <c r="BZ27" s="114"/>
      <c r="CA27" s="115"/>
      <c r="CB27" s="2"/>
      <c r="CC27" s="112"/>
      <c r="CD27" s="112"/>
      <c r="CE27" s="112"/>
      <c r="CF27" s="113"/>
      <c r="CG27" s="114"/>
      <c r="CH27" s="115"/>
      <c r="CI27" s="2"/>
      <c r="CJ27" s="112"/>
      <c r="CK27" s="112"/>
      <c r="CL27" s="112"/>
      <c r="CM27" s="113"/>
      <c r="CN27" s="114"/>
      <c r="CO27" s="115"/>
      <c r="CP27" s="2"/>
      <c r="CQ27" s="112"/>
      <c r="CR27" s="112"/>
      <c r="CS27" s="112"/>
      <c r="CT27" s="113"/>
      <c r="CU27" s="114"/>
      <c r="CV27" s="115"/>
      <c r="CW27" s="2"/>
      <c r="CX27" s="112"/>
      <c r="CY27" s="112"/>
      <c r="CZ27" s="112"/>
      <c r="DA27" s="113"/>
      <c r="DB27" s="114"/>
      <c r="DC27" s="115"/>
      <c r="DD27" s="2"/>
      <c r="DE27" s="112"/>
      <c r="DF27" s="112"/>
      <c r="DG27" s="112"/>
      <c r="DH27" s="113"/>
      <c r="DI27" s="114"/>
      <c r="DJ27" s="115"/>
      <c r="DK27" s="2"/>
      <c r="DL27" s="112"/>
      <c r="DM27" s="112"/>
      <c r="DN27" s="112"/>
      <c r="DO27" s="113"/>
      <c r="DP27" s="114"/>
      <c r="DQ27" s="115"/>
      <c r="DR27" s="2"/>
      <c r="DS27" s="112"/>
      <c r="DT27" s="112"/>
      <c r="DU27" s="112"/>
      <c r="DV27" s="113"/>
      <c r="DW27" s="114"/>
      <c r="DX27" s="115"/>
      <c r="DY27" s="2"/>
      <c r="DZ27" s="112"/>
      <c r="EA27" s="112"/>
      <c r="EB27" s="112"/>
      <c r="EC27" s="113"/>
      <c r="ED27" s="114"/>
      <c r="EE27" s="115"/>
      <c r="EF27" s="2"/>
      <c r="EG27" s="112"/>
      <c r="EH27" s="112"/>
      <c r="EI27" s="112"/>
      <c r="EJ27" s="113"/>
      <c r="EK27" s="114"/>
      <c r="EL27" s="115"/>
      <c r="EM27" s="2"/>
      <c r="EN27" s="112"/>
      <c r="EO27" s="112"/>
      <c r="EP27" s="112"/>
      <c r="EQ27" s="113"/>
      <c r="ER27" s="114"/>
      <c r="ES27" s="115"/>
      <c r="ET27" s="2"/>
      <c r="EU27" s="112"/>
      <c r="EV27" s="112"/>
      <c r="EW27" s="112"/>
      <c r="EX27" s="113"/>
      <c r="EY27" s="114"/>
      <c r="EZ27" s="115"/>
      <c r="FA27" s="2"/>
      <c r="FB27" s="112"/>
      <c r="FC27" s="112"/>
      <c r="FD27" s="112"/>
      <c r="FE27" s="113"/>
      <c r="FF27" s="114"/>
      <c r="FG27" s="115"/>
      <c r="FH27" s="2"/>
      <c r="FI27" s="112"/>
      <c r="FJ27" s="112"/>
      <c r="FK27" s="112"/>
      <c r="FL27" s="113"/>
      <c r="FM27" s="114"/>
      <c r="FN27" s="115"/>
      <c r="FO27" s="2"/>
      <c r="FP27" s="112"/>
      <c r="FQ27" s="112"/>
      <c r="FR27" s="112"/>
      <c r="FS27" s="113"/>
      <c r="FT27" s="114"/>
      <c r="FU27" s="115"/>
      <c r="FV27" s="2"/>
      <c r="FW27" s="112"/>
      <c r="FX27" s="112"/>
      <c r="FY27" s="112"/>
      <c r="FZ27" s="113"/>
      <c r="GA27" s="114"/>
      <c r="GB27" s="115"/>
      <c r="GC27" s="2"/>
      <c r="GD27" s="112"/>
      <c r="GE27" s="112"/>
      <c r="GF27" s="112"/>
      <c r="GG27" s="113"/>
      <c r="GH27" s="114"/>
      <c r="GI27" s="115"/>
      <c r="GJ27" s="2"/>
      <c r="GK27" s="112"/>
      <c r="GL27" s="112"/>
      <c r="GM27" s="112"/>
      <c r="GN27" s="113"/>
      <c r="GO27" s="114"/>
      <c r="GP27" s="115"/>
      <c r="GQ27" s="2"/>
      <c r="GR27" s="112"/>
      <c r="GS27" s="112"/>
      <c r="GT27" s="112"/>
      <c r="GU27" s="113"/>
      <c r="GV27" s="114"/>
      <c r="GW27" s="115"/>
      <c r="GX27" s="2"/>
      <c r="GY27" s="112"/>
      <c r="GZ27" s="112"/>
      <c r="HA27" s="112"/>
      <c r="HB27" s="113"/>
      <c r="HC27" s="114"/>
      <c r="HD27" s="115"/>
      <c r="HE27" s="2"/>
      <c r="HF27" s="112"/>
      <c r="HG27" s="112"/>
      <c r="HH27" s="112"/>
      <c r="HI27" s="113"/>
      <c r="HJ27" s="114"/>
      <c r="HK27" s="115"/>
      <c r="HL27" s="2"/>
      <c r="HM27" s="112"/>
      <c r="HN27" s="112"/>
      <c r="HO27" s="112"/>
      <c r="HP27" s="113"/>
      <c r="HQ27" s="114"/>
      <c r="HR27" s="115"/>
      <c r="HS27" s="2"/>
      <c r="HT27" s="112"/>
      <c r="HU27" s="112"/>
      <c r="HV27" s="112"/>
      <c r="HW27" s="113"/>
      <c r="HX27" s="114"/>
      <c r="HY27" s="115"/>
      <c r="HZ27" s="2"/>
      <c r="IA27" s="112"/>
      <c r="IB27" s="112"/>
      <c r="IC27" s="112"/>
      <c r="ID27" s="113"/>
      <c r="IE27" s="114"/>
      <c r="IF27" s="115"/>
      <c r="IG27" s="2"/>
      <c r="IH27" s="112"/>
      <c r="II27" s="112"/>
      <c r="IJ27" s="112"/>
      <c r="IK27" s="113"/>
      <c r="IL27" s="114"/>
      <c r="IM27" s="115"/>
      <c r="IN27" s="2"/>
      <c r="IO27" s="112"/>
      <c r="IP27" s="112"/>
      <c r="IQ27" s="112"/>
      <c r="IR27" s="113"/>
      <c r="IS27" s="114"/>
      <c r="IT27" s="115"/>
      <c r="IU27" s="2"/>
      <c r="IV27" s="112"/>
    </row>
    <row r="28" spans="1:9" s="7" customFormat="1" ht="19.5" customHeight="1">
      <c r="A28" s="105"/>
      <c r="B28" s="97"/>
      <c r="C28" s="118" t="s">
        <v>328</v>
      </c>
      <c r="D28" s="119">
        <v>8570000</v>
      </c>
      <c r="E28" s="119">
        <v>9370000</v>
      </c>
      <c r="F28" s="119">
        <f>3124016-100</f>
        <v>3123916</v>
      </c>
      <c r="G28" s="120">
        <f t="shared" si="0"/>
        <v>0.3333955176093917</v>
      </c>
      <c r="H28" s="121">
        <v>689600</v>
      </c>
      <c r="I28" s="6"/>
    </row>
    <row r="29" spans="1:9" s="7" customFormat="1" ht="19.5" customHeight="1">
      <c r="A29" s="38"/>
      <c r="B29" s="97"/>
      <c r="C29" s="122" t="s">
        <v>329</v>
      </c>
      <c r="D29" s="123">
        <v>220000</v>
      </c>
      <c r="E29" s="123">
        <v>220000</v>
      </c>
      <c r="F29" s="123">
        <v>136710</v>
      </c>
      <c r="G29" s="124">
        <f t="shared" si="0"/>
        <v>0.6214090909090909</v>
      </c>
      <c r="H29" s="125"/>
      <c r="I29" s="6"/>
    </row>
    <row r="30" spans="1:9" s="132" customFormat="1" ht="19.5" customHeight="1">
      <c r="A30" s="50"/>
      <c r="B30" s="126"/>
      <c r="C30" s="127" t="s">
        <v>330</v>
      </c>
      <c r="D30" s="128">
        <v>5000</v>
      </c>
      <c r="E30" s="128">
        <v>5000</v>
      </c>
      <c r="F30" s="128">
        <v>6506</v>
      </c>
      <c r="G30" s="129">
        <f t="shared" si="0"/>
        <v>1.3012</v>
      </c>
      <c r="H30" s="130"/>
      <c r="I30" s="131"/>
    </row>
    <row r="31" spans="1:9" s="7" customFormat="1" ht="19.5" customHeight="1">
      <c r="A31" s="38"/>
      <c r="B31" s="97"/>
      <c r="C31" s="133" t="s">
        <v>331</v>
      </c>
      <c r="D31" s="134"/>
      <c r="E31" s="134"/>
      <c r="F31" s="134">
        <f>12286+100</f>
        <v>12386</v>
      </c>
      <c r="G31" s="135"/>
      <c r="H31" s="136"/>
      <c r="I31" s="6"/>
    </row>
    <row r="32" spans="1:9" s="145" customFormat="1" ht="19.5" customHeight="1">
      <c r="A32" s="137">
        <v>710</v>
      </c>
      <c r="B32" s="138"/>
      <c r="C32" s="139" t="s">
        <v>332</v>
      </c>
      <c r="D32" s="140">
        <f>SUM(D33)</f>
        <v>916000</v>
      </c>
      <c r="E32" s="141">
        <f>SUM(E33)</f>
        <v>916000</v>
      </c>
      <c r="F32" s="141">
        <f>SUM(F33)</f>
        <v>956983</v>
      </c>
      <c r="G32" s="142">
        <f aca="true" t="shared" si="1" ref="G32:G43">F32/E32</f>
        <v>1.0447412663755458</v>
      </c>
      <c r="H32" s="143"/>
      <c r="I32" s="144"/>
    </row>
    <row r="33" spans="1:9" s="149" customFormat="1" ht="19.5" customHeight="1">
      <c r="A33" s="89"/>
      <c r="B33" s="65">
        <v>71035</v>
      </c>
      <c r="C33" s="80" t="s">
        <v>333</v>
      </c>
      <c r="D33" s="81">
        <f>SUM(D34:D35)</f>
        <v>916000</v>
      </c>
      <c r="E33" s="82">
        <f>SUM(E34:E35)</f>
        <v>916000</v>
      </c>
      <c r="F33" s="82">
        <f>SUM(F34:F35)</f>
        <v>956983</v>
      </c>
      <c r="G33" s="146">
        <f t="shared" si="1"/>
        <v>1.0447412663755458</v>
      </c>
      <c r="H33" s="147"/>
      <c r="I33" s="148"/>
    </row>
    <row r="34" spans="1:8" ht="19.5" customHeight="1">
      <c r="A34" s="38"/>
      <c r="B34" s="97"/>
      <c r="C34" s="150" t="s">
        <v>334</v>
      </c>
      <c r="D34" s="151">
        <v>900000</v>
      </c>
      <c r="E34" s="151">
        <v>900000</v>
      </c>
      <c r="F34" s="151">
        <v>949550</v>
      </c>
      <c r="G34" s="152">
        <f t="shared" si="1"/>
        <v>1.0550555555555556</v>
      </c>
      <c r="H34" s="136"/>
    </row>
    <row r="35" spans="1:8" ht="19.5" customHeight="1">
      <c r="A35" s="38"/>
      <c r="B35" s="97"/>
      <c r="C35" s="133" t="s">
        <v>335</v>
      </c>
      <c r="D35" s="134">
        <v>16000</v>
      </c>
      <c r="E35" s="134">
        <v>16000</v>
      </c>
      <c r="F35" s="134">
        <v>7433</v>
      </c>
      <c r="G35" s="135">
        <f t="shared" si="1"/>
        <v>0.4645625</v>
      </c>
      <c r="H35" s="136"/>
    </row>
    <row r="36" spans="1:8" ht="19.5" customHeight="1">
      <c r="A36" s="137">
        <v>750</v>
      </c>
      <c r="B36" s="153"/>
      <c r="C36" s="153" t="s">
        <v>336</v>
      </c>
      <c r="D36" s="140">
        <f>D37</f>
        <v>342000</v>
      </c>
      <c r="E36" s="141">
        <f>E37</f>
        <v>342000</v>
      </c>
      <c r="F36" s="141">
        <f>F37+F45</f>
        <v>324130</v>
      </c>
      <c r="G36" s="154">
        <f t="shared" si="1"/>
        <v>0.9477485380116959</v>
      </c>
      <c r="H36" s="143"/>
    </row>
    <row r="37" spans="1:8" ht="19.5" customHeight="1">
      <c r="A37" s="64"/>
      <c r="B37" s="66">
        <v>75023</v>
      </c>
      <c r="C37" s="79" t="s">
        <v>337</v>
      </c>
      <c r="D37" s="81">
        <f>D38+D39+D40+D41+D42+D43</f>
        <v>342000</v>
      </c>
      <c r="E37" s="82">
        <f>E38+E39+E40+E41+E42+E43</f>
        <v>342000</v>
      </c>
      <c r="F37" s="82">
        <f>F38+F39+F40+F41+F42+F43+F44</f>
        <v>321218</v>
      </c>
      <c r="G37" s="83">
        <f t="shared" si="1"/>
        <v>0.939233918128655</v>
      </c>
      <c r="H37" s="69"/>
    </row>
    <row r="38" spans="1:8" ht="19.5" customHeight="1">
      <c r="A38" s="38"/>
      <c r="B38" s="97"/>
      <c r="C38" s="122" t="s">
        <v>338</v>
      </c>
      <c r="D38" s="119">
        <v>2000</v>
      </c>
      <c r="E38" s="119">
        <v>2000</v>
      </c>
      <c r="F38" s="119">
        <v>1863</v>
      </c>
      <c r="G38" s="120">
        <f t="shared" si="1"/>
        <v>0.9315</v>
      </c>
      <c r="H38" s="155"/>
    </row>
    <row r="39" spans="1:8" ht="19.5" customHeight="1">
      <c r="A39" s="38"/>
      <c r="B39" s="97"/>
      <c r="C39" s="156" t="s">
        <v>339</v>
      </c>
      <c r="D39" s="99">
        <v>40000</v>
      </c>
      <c r="E39" s="99">
        <v>40000</v>
      </c>
      <c r="F39" s="99">
        <v>44163</v>
      </c>
      <c r="G39" s="100">
        <f t="shared" si="1"/>
        <v>1.104075</v>
      </c>
      <c r="H39" s="104"/>
    </row>
    <row r="40" spans="1:8" ht="19.5" customHeight="1">
      <c r="A40" s="38"/>
      <c r="B40" s="97"/>
      <c r="C40" s="98" t="s">
        <v>340</v>
      </c>
      <c r="D40" s="157">
        <v>80000</v>
      </c>
      <c r="E40" s="157">
        <v>80000</v>
      </c>
      <c r="F40" s="157">
        <v>28315</v>
      </c>
      <c r="G40" s="158">
        <f t="shared" si="1"/>
        <v>0.3539375</v>
      </c>
      <c r="H40" s="104"/>
    </row>
    <row r="41" spans="1:8" ht="19.5" customHeight="1">
      <c r="A41" s="38"/>
      <c r="B41" s="97"/>
      <c r="C41" s="156" t="s">
        <v>341</v>
      </c>
      <c r="D41" s="159">
        <v>97000</v>
      </c>
      <c r="E41" s="159">
        <v>97000</v>
      </c>
      <c r="F41" s="119">
        <v>66667</v>
      </c>
      <c r="G41" s="120">
        <f t="shared" si="1"/>
        <v>0.6872886597938145</v>
      </c>
      <c r="H41" s="155"/>
    </row>
    <row r="42" spans="1:8" ht="19.5" customHeight="1">
      <c r="A42" s="38"/>
      <c r="B42" s="97"/>
      <c r="C42" s="156" t="s">
        <v>342</v>
      </c>
      <c r="D42" s="159">
        <v>110000</v>
      </c>
      <c r="E42" s="159">
        <v>110000</v>
      </c>
      <c r="F42" s="159">
        <v>121805</v>
      </c>
      <c r="G42" s="160">
        <f t="shared" si="1"/>
        <v>1.1073181818181819</v>
      </c>
      <c r="H42" s="104"/>
    </row>
    <row r="43" spans="1:8" ht="39" customHeight="1">
      <c r="A43" s="38"/>
      <c r="B43" s="97"/>
      <c r="C43" s="161" t="s">
        <v>343</v>
      </c>
      <c r="D43" s="162">
        <v>13000</v>
      </c>
      <c r="E43" s="163">
        <v>13000</v>
      </c>
      <c r="F43" s="163">
        <v>9057</v>
      </c>
      <c r="G43" s="164">
        <f t="shared" si="1"/>
        <v>0.6966923076923077</v>
      </c>
      <c r="H43" s="165"/>
    </row>
    <row r="44" spans="1:8" ht="18.75" customHeight="1">
      <c r="A44" s="38"/>
      <c r="B44" s="126"/>
      <c r="C44" s="166" t="s">
        <v>331</v>
      </c>
      <c r="D44" s="167"/>
      <c r="E44" s="167"/>
      <c r="F44" s="167">
        <v>49348</v>
      </c>
      <c r="G44" s="168"/>
      <c r="H44" s="165"/>
    </row>
    <row r="45" spans="1:9" s="149" customFormat="1" ht="19.5" customHeight="1">
      <c r="A45" s="89"/>
      <c r="B45" s="169">
        <v>75095</v>
      </c>
      <c r="C45" s="79" t="s">
        <v>314</v>
      </c>
      <c r="D45" s="170"/>
      <c r="E45" s="170"/>
      <c r="F45" s="170">
        <f>F46</f>
        <v>2912</v>
      </c>
      <c r="G45" s="171"/>
      <c r="H45" s="172"/>
      <c r="I45" s="148"/>
    </row>
    <row r="46" spans="1:8" ht="19.5" customHeight="1">
      <c r="A46" s="38"/>
      <c r="B46" s="97"/>
      <c r="C46" s="173" t="s">
        <v>331</v>
      </c>
      <c r="D46" s="174"/>
      <c r="E46" s="174"/>
      <c r="F46" s="174">
        <v>2912</v>
      </c>
      <c r="G46" s="175"/>
      <c r="H46" s="165"/>
    </row>
    <row r="47" spans="1:9" s="145" customFormat="1" ht="19.5" customHeight="1">
      <c r="A47" s="137">
        <v>754</v>
      </c>
      <c r="B47" s="138"/>
      <c r="C47" s="176" t="s">
        <v>344</v>
      </c>
      <c r="D47" s="140">
        <f>D48</f>
        <v>850000</v>
      </c>
      <c r="E47" s="141">
        <f>E48</f>
        <v>850000</v>
      </c>
      <c r="F47" s="141">
        <f>F48</f>
        <v>677436</v>
      </c>
      <c r="G47" s="154">
        <f aca="true" t="shared" si="2" ref="G47:G81">F47/E47</f>
        <v>0.7969835294117648</v>
      </c>
      <c r="H47" s="143"/>
      <c r="I47" s="144"/>
    </row>
    <row r="48" spans="1:9" s="149" customFormat="1" ht="19.5" customHeight="1">
      <c r="A48" s="89"/>
      <c r="B48" s="65">
        <v>75416</v>
      </c>
      <c r="C48" s="79" t="s">
        <v>345</v>
      </c>
      <c r="D48" s="81">
        <v>850000</v>
      </c>
      <c r="E48" s="81">
        <v>850000</v>
      </c>
      <c r="F48" s="81">
        <f>F49</f>
        <v>677436</v>
      </c>
      <c r="G48" s="146">
        <f t="shared" si="2"/>
        <v>0.7969835294117648</v>
      </c>
      <c r="H48" s="147"/>
      <c r="I48" s="148"/>
    </row>
    <row r="49" spans="1:8" ht="19.5" customHeight="1">
      <c r="A49" s="50"/>
      <c r="B49" s="126"/>
      <c r="C49" s="173" t="s">
        <v>346</v>
      </c>
      <c r="D49" s="87">
        <v>850000</v>
      </c>
      <c r="E49" s="87">
        <v>850000</v>
      </c>
      <c r="F49" s="87">
        <v>677436</v>
      </c>
      <c r="G49" s="88">
        <f t="shared" si="2"/>
        <v>0.7969835294117648</v>
      </c>
      <c r="H49" s="130"/>
    </row>
    <row r="50" spans="1:8" ht="26.25" customHeight="1">
      <c r="A50" s="177">
        <v>756</v>
      </c>
      <c r="B50" s="58"/>
      <c r="C50" s="76" t="s">
        <v>347</v>
      </c>
      <c r="D50" s="60">
        <f>D51+D54+D57+D64+D75+D84+D86</f>
        <v>231258660</v>
      </c>
      <c r="E50" s="61">
        <f>E51+E54+E57+E64+E75+E84+E86</f>
        <v>231658360</v>
      </c>
      <c r="F50" s="61">
        <f>F51+F54+F57+F64+F75+F84+F86</f>
        <v>226844306</v>
      </c>
      <c r="G50" s="77">
        <f t="shared" si="2"/>
        <v>0.9792191656713792</v>
      </c>
      <c r="H50" s="63"/>
    </row>
    <row r="51" spans="1:8" ht="19.5" customHeight="1">
      <c r="A51" s="64"/>
      <c r="B51" s="178">
        <v>75601</v>
      </c>
      <c r="C51" s="90" t="s">
        <v>348</v>
      </c>
      <c r="D51" s="179">
        <f>D52+D53</f>
        <v>2310000</v>
      </c>
      <c r="E51" s="180">
        <f>E52+E53</f>
        <v>2310000</v>
      </c>
      <c r="F51" s="180">
        <f>F52+F53</f>
        <v>1364887</v>
      </c>
      <c r="G51" s="181">
        <f t="shared" si="2"/>
        <v>0.5908601731601731</v>
      </c>
      <c r="H51" s="182"/>
    </row>
    <row r="52" spans="1:8" ht="19.5" customHeight="1">
      <c r="A52" s="38"/>
      <c r="B52" s="97"/>
      <c r="C52" s="93" t="s">
        <v>349</v>
      </c>
      <c r="D52" s="94">
        <v>2200000</v>
      </c>
      <c r="E52" s="94">
        <v>2200000</v>
      </c>
      <c r="F52" s="94">
        <v>1307493</v>
      </c>
      <c r="G52" s="95">
        <f t="shared" si="2"/>
        <v>0.594315</v>
      </c>
      <c r="H52" s="183"/>
    </row>
    <row r="53" spans="1:8" ht="19.5" customHeight="1">
      <c r="A53" s="38"/>
      <c r="B53" s="126"/>
      <c r="C53" s="173" t="s">
        <v>350</v>
      </c>
      <c r="D53" s="184">
        <v>110000</v>
      </c>
      <c r="E53" s="184">
        <v>110000</v>
      </c>
      <c r="F53" s="184">
        <v>57394</v>
      </c>
      <c r="G53" s="185">
        <f t="shared" si="2"/>
        <v>0.5217636363636363</v>
      </c>
      <c r="H53" s="183"/>
    </row>
    <row r="54" spans="1:8" ht="19.5" customHeight="1">
      <c r="A54" s="89"/>
      <c r="B54" s="186">
        <v>75605</v>
      </c>
      <c r="C54" s="79" t="s">
        <v>351</v>
      </c>
      <c r="D54" s="81">
        <f>D55+D56</f>
        <v>750000</v>
      </c>
      <c r="E54" s="82">
        <f>E55+E56</f>
        <v>750000</v>
      </c>
      <c r="F54" s="82">
        <f>F55+F56</f>
        <v>1000000</v>
      </c>
      <c r="G54" s="146">
        <f t="shared" si="2"/>
        <v>1.3333333333333333</v>
      </c>
      <c r="H54" s="182"/>
    </row>
    <row r="55" spans="1:8" ht="19.5" customHeight="1">
      <c r="A55" s="89"/>
      <c r="B55" s="97"/>
      <c r="C55" s="156" t="s">
        <v>352</v>
      </c>
      <c r="D55" s="99">
        <v>250000</v>
      </c>
      <c r="E55" s="119">
        <v>250000</v>
      </c>
      <c r="F55" s="119">
        <v>450000</v>
      </c>
      <c r="G55" s="120">
        <f t="shared" si="2"/>
        <v>1.8</v>
      </c>
      <c r="H55" s="104"/>
    </row>
    <row r="56" spans="1:9" s="132" customFormat="1" ht="19.5" customHeight="1">
      <c r="A56" s="186"/>
      <c r="B56" s="126"/>
      <c r="C56" s="173" t="s">
        <v>353</v>
      </c>
      <c r="D56" s="87">
        <v>500000</v>
      </c>
      <c r="E56" s="87">
        <v>500000</v>
      </c>
      <c r="F56" s="87">
        <v>550000</v>
      </c>
      <c r="G56" s="88">
        <f t="shared" si="2"/>
        <v>1.1</v>
      </c>
      <c r="H56" s="187"/>
      <c r="I56" s="131"/>
    </row>
    <row r="57" spans="1:8" ht="39.75" customHeight="1">
      <c r="A57" s="89"/>
      <c r="B57" s="66">
        <v>75615</v>
      </c>
      <c r="C57" s="80" t="s">
        <v>354</v>
      </c>
      <c r="D57" s="81">
        <f>D58+D59+D60+D61+D62+D63</f>
        <v>70335900</v>
      </c>
      <c r="E57" s="82">
        <f>E58+E59+E60+E61+E62+E63</f>
        <v>70323600</v>
      </c>
      <c r="F57" s="82">
        <f>F58+F59+F60+F61+F62+F63</f>
        <v>75856272</v>
      </c>
      <c r="G57" s="83">
        <f t="shared" si="2"/>
        <v>1.078674470590243</v>
      </c>
      <c r="H57" s="84"/>
    </row>
    <row r="58" spans="1:8" ht="18.75" customHeight="1">
      <c r="A58" s="89"/>
      <c r="B58" s="97"/>
      <c r="C58" s="188" t="s">
        <v>355</v>
      </c>
      <c r="D58" s="99">
        <v>63600000</v>
      </c>
      <c r="E58" s="99">
        <v>63600000</v>
      </c>
      <c r="F58" s="99">
        <v>69410863</v>
      </c>
      <c r="G58" s="100">
        <f t="shared" si="2"/>
        <v>1.0913657704402515</v>
      </c>
      <c r="H58" s="104"/>
    </row>
    <row r="59" spans="1:8" ht="18.75" customHeight="1">
      <c r="A59" s="89"/>
      <c r="B59" s="97"/>
      <c r="C59" s="98" t="s">
        <v>356</v>
      </c>
      <c r="D59" s="99">
        <v>8900</v>
      </c>
      <c r="E59" s="99">
        <v>8900</v>
      </c>
      <c r="F59" s="99">
        <v>6946</v>
      </c>
      <c r="G59" s="100">
        <f t="shared" si="2"/>
        <v>0.7804494382022472</v>
      </c>
      <c r="H59" s="155"/>
    </row>
    <row r="60" spans="1:8" ht="18.75" customHeight="1">
      <c r="A60" s="89"/>
      <c r="B60" s="97"/>
      <c r="C60" s="98" t="s">
        <v>357</v>
      </c>
      <c r="D60" s="99">
        <v>27000</v>
      </c>
      <c r="E60" s="99">
        <v>14700</v>
      </c>
      <c r="F60" s="99">
        <v>14777</v>
      </c>
      <c r="G60" s="100">
        <f t="shared" si="2"/>
        <v>1.0052380952380953</v>
      </c>
      <c r="H60" s="155"/>
    </row>
    <row r="61" spans="1:8" ht="18.75" customHeight="1">
      <c r="A61" s="89"/>
      <c r="B61" s="97"/>
      <c r="C61" s="188" t="s">
        <v>358</v>
      </c>
      <c r="D61" s="119">
        <v>3300000</v>
      </c>
      <c r="E61" s="119">
        <v>3300000</v>
      </c>
      <c r="F61" s="119">
        <v>3281192</v>
      </c>
      <c r="G61" s="120">
        <f t="shared" si="2"/>
        <v>0.9943006060606061</v>
      </c>
      <c r="H61" s="104"/>
    </row>
    <row r="62" spans="1:8" ht="18.75" customHeight="1">
      <c r="A62" s="89"/>
      <c r="B62" s="97"/>
      <c r="C62" s="98" t="s">
        <v>359</v>
      </c>
      <c r="D62" s="99">
        <v>1900000</v>
      </c>
      <c r="E62" s="99">
        <v>1900000</v>
      </c>
      <c r="F62" s="99">
        <v>2208925</v>
      </c>
      <c r="G62" s="100">
        <f t="shared" si="2"/>
        <v>1.1625921052631578</v>
      </c>
      <c r="H62" s="155"/>
    </row>
    <row r="63" spans="1:8" ht="18.75" customHeight="1">
      <c r="A63" s="89"/>
      <c r="B63" s="126"/>
      <c r="C63" s="189" t="s">
        <v>360</v>
      </c>
      <c r="D63" s="128">
        <v>1500000</v>
      </c>
      <c r="E63" s="87">
        <v>1500000</v>
      </c>
      <c r="F63" s="87">
        <f>7765+889776+14694+13494+7840</f>
        <v>933569</v>
      </c>
      <c r="G63" s="88">
        <f t="shared" si="2"/>
        <v>0.6223793333333333</v>
      </c>
      <c r="H63" s="155"/>
    </row>
    <row r="64" spans="1:8" ht="38.25" customHeight="1">
      <c r="A64" s="89"/>
      <c r="B64" s="66">
        <v>75616</v>
      </c>
      <c r="C64" s="80" t="s">
        <v>361</v>
      </c>
      <c r="D64" s="67">
        <f>D65+D66+D67+D68+D69+D70+D71+D72+D73+D74</f>
        <v>27993000</v>
      </c>
      <c r="E64" s="190">
        <f>E65+E66+E67+E68+E69+E70+E71+E72+E73+E74</f>
        <v>27405000</v>
      </c>
      <c r="F64" s="190">
        <f>F65+F66+F67+F68+F69+F70+F71+F72+F73+F74</f>
        <v>27573361</v>
      </c>
      <c r="G64" s="191">
        <f t="shared" si="2"/>
        <v>1.0061434409779237</v>
      </c>
      <c r="H64" s="69"/>
    </row>
    <row r="65" spans="1:8" ht="18.75" customHeight="1">
      <c r="A65" s="38"/>
      <c r="B65" s="92"/>
      <c r="C65" s="192" t="s">
        <v>355</v>
      </c>
      <c r="D65" s="94">
        <v>9800000</v>
      </c>
      <c r="E65" s="193">
        <v>9212000</v>
      </c>
      <c r="F65" s="193">
        <v>9958523</v>
      </c>
      <c r="G65" s="194">
        <f t="shared" si="2"/>
        <v>1.0810381024750326</v>
      </c>
      <c r="H65" s="195"/>
    </row>
    <row r="66" spans="1:8" ht="18.75" customHeight="1">
      <c r="A66" s="38"/>
      <c r="B66" s="97"/>
      <c r="C66" s="98" t="s">
        <v>356</v>
      </c>
      <c r="D66" s="196">
        <v>700000</v>
      </c>
      <c r="E66" s="197">
        <v>700000</v>
      </c>
      <c r="F66" s="197">
        <v>694836</v>
      </c>
      <c r="G66" s="198">
        <f t="shared" si="2"/>
        <v>0.9926228571428571</v>
      </c>
      <c r="H66" s="199"/>
    </row>
    <row r="67" spans="1:8" ht="18.75" customHeight="1">
      <c r="A67" s="38"/>
      <c r="B67" s="97"/>
      <c r="C67" s="200" t="s">
        <v>357</v>
      </c>
      <c r="D67" s="196">
        <v>7000</v>
      </c>
      <c r="E67" s="197">
        <v>7000</v>
      </c>
      <c r="F67" s="197">
        <v>7078</v>
      </c>
      <c r="G67" s="198">
        <f t="shared" si="2"/>
        <v>1.0111428571428571</v>
      </c>
      <c r="H67" s="199"/>
    </row>
    <row r="68" spans="1:8" ht="18.75" customHeight="1">
      <c r="A68" s="38"/>
      <c r="B68" s="97"/>
      <c r="C68" s="188" t="s">
        <v>358</v>
      </c>
      <c r="D68" s="196">
        <v>2100000</v>
      </c>
      <c r="E68" s="197">
        <v>2100000</v>
      </c>
      <c r="F68" s="197">
        <v>2388429</v>
      </c>
      <c r="G68" s="198">
        <f t="shared" si="2"/>
        <v>1.137347142857143</v>
      </c>
      <c r="H68" s="199"/>
    </row>
    <row r="69" spans="1:8" ht="18.75" customHeight="1">
      <c r="A69" s="38"/>
      <c r="B69" s="97"/>
      <c r="C69" s="188" t="s">
        <v>362</v>
      </c>
      <c r="D69" s="123">
        <v>3000000</v>
      </c>
      <c r="E69" s="201">
        <v>3000000</v>
      </c>
      <c r="F69" s="201">
        <v>3003582</v>
      </c>
      <c r="G69" s="202">
        <f t="shared" si="2"/>
        <v>1.001194</v>
      </c>
      <c r="H69" s="199"/>
    </row>
    <row r="70" spans="1:8" ht="18.75" customHeight="1">
      <c r="A70" s="38"/>
      <c r="B70" s="97"/>
      <c r="C70" s="98" t="s">
        <v>363</v>
      </c>
      <c r="D70" s="196">
        <v>220000</v>
      </c>
      <c r="E70" s="197">
        <v>220000</v>
      </c>
      <c r="F70" s="197">
        <v>228630</v>
      </c>
      <c r="G70" s="198">
        <f t="shared" si="2"/>
        <v>1.0392272727272727</v>
      </c>
      <c r="H70" s="136"/>
    </row>
    <row r="71" spans="1:12" ht="18.75" customHeight="1">
      <c r="A71" s="38"/>
      <c r="B71" s="97"/>
      <c r="C71" s="98" t="s">
        <v>364</v>
      </c>
      <c r="D71" s="203">
        <v>2500000</v>
      </c>
      <c r="E71" s="204">
        <v>2500000</v>
      </c>
      <c r="F71" s="204">
        <v>1947289</v>
      </c>
      <c r="G71" s="205">
        <f t="shared" si="2"/>
        <v>0.7789156</v>
      </c>
      <c r="H71" s="130"/>
      <c r="K71" s="206"/>
      <c r="L71" s="206"/>
    </row>
    <row r="72" spans="1:8" ht="18.75" customHeight="1">
      <c r="A72" s="38"/>
      <c r="B72" s="97"/>
      <c r="C72" s="188" t="s">
        <v>365</v>
      </c>
      <c r="D72" s="207">
        <v>16000</v>
      </c>
      <c r="E72" s="207">
        <v>16000</v>
      </c>
      <c r="F72" s="207">
        <v>23205</v>
      </c>
      <c r="G72" s="208">
        <f t="shared" si="2"/>
        <v>1.4503125</v>
      </c>
      <c r="H72" s="136"/>
    </row>
    <row r="73" spans="1:8" ht="18.75" customHeight="1">
      <c r="A73" s="38"/>
      <c r="B73" s="97"/>
      <c r="C73" s="98" t="s">
        <v>359</v>
      </c>
      <c r="D73" s="203">
        <v>8300000</v>
      </c>
      <c r="E73" s="203">
        <v>8300000</v>
      </c>
      <c r="F73" s="203">
        <v>8280844</v>
      </c>
      <c r="G73" s="209">
        <f t="shared" si="2"/>
        <v>0.9976920481927711</v>
      </c>
      <c r="H73" s="125"/>
    </row>
    <row r="74" spans="1:8" ht="18.75" customHeight="1">
      <c r="A74" s="89"/>
      <c r="B74" s="51"/>
      <c r="C74" s="51" t="s">
        <v>360</v>
      </c>
      <c r="D74" s="210">
        <v>1350000</v>
      </c>
      <c r="E74" s="210">
        <v>1350000</v>
      </c>
      <c r="F74" s="210">
        <f>84855+872078+2804+81208</f>
        <v>1040945</v>
      </c>
      <c r="G74" s="211">
        <f t="shared" si="2"/>
        <v>0.7710703703703704</v>
      </c>
      <c r="H74" s="130"/>
    </row>
    <row r="75" spans="1:8" ht="29.25" customHeight="1">
      <c r="A75" s="89"/>
      <c r="B75" s="66">
        <v>75618</v>
      </c>
      <c r="C75" s="79" t="s">
        <v>366</v>
      </c>
      <c r="D75" s="212">
        <f>D76+D77+D78+D79+D80+D81+D83</f>
        <v>12220000</v>
      </c>
      <c r="E75" s="213">
        <f>E76+E77+E78+E79+E80+E81+E83</f>
        <v>13220000</v>
      </c>
      <c r="F75" s="213">
        <f>SUM(F76:F83)</f>
        <v>12919830</v>
      </c>
      <c r="G75" s="214">
        <f t="shared" si="2"/>
        <v>0.9772942511346445</v>
      </c>
      <c r="H75" s="69"/>
    </row>
    <row r="76" spans="1:8" ht="19.5" customHeight="1">
      <c r="A76" s="38"/>
      <c r="B76" s="92"/>
      <c r="C76" s="188" t="s">
        <v>367</v>
      </c>
      <c r="D76" s="207">
        <v>6700000</v>
      </c>
      <c r="E76" s="207">
        <v>6700000</v>
      </c>
      <c r="F76" s="207">
        <v>6161803</v>
      </c>
      <c r="G76" s="208">
        <f t="shared" si="2"/>
        <v>0.9196720895522388</v>
      </c>
      <c r="H76" s="195"/>
    </row>
    <row r="77" spans="1:8" ht="19.5" customHeight="1">
      <c r="A77" s="38"/>
      <c r="B77" s="97"/>
      <c r="C77" s="188" t="s">
        <v>368</v>
      </c>
      <c r="D77" s="207">
        <v>3500000</v>
      </c>
      <c r="E77" s="207">
        <v>4500000</v>
      </c>
      <c r="F77" s="207">
        <v>4827300</v>
      </c>
      <c r="G77" s="208">
        <f t="shared" si="2"/>
        <v>1.0727333333333333</v>
      </c>
      <c r="H77" s="136"/>
    </row>
    <row r="78" spans="1:8" ht="19.5" customHeight="1">
      <c r="A78" s="38"/>
      <c r="B78" s="97"/>
      <c r="C78" s="156" t="s">
        <v>369</v>
      </c>
      <c r="D78" s="207">
        <v>150000</v>
      </c>
      <c r="E78" s="207">
        <v>150000</v>
      </c>
      <c r="F78" s="207">
        <v>105439</v>
      </c>
      <c r="G78" s="208">
        <f t="shared" si="2"/>
        <v>0.7029266666666667</v>
      </c>
      <c r="H78" s="136"/>
    </row>
    <row r="79" spans="1:8" ht="19.5" customHeight="1">
      <c r="A79" s="38"/>
      <c r="B79" s="97"/>
      <c r="C79" s="188" t="s">
        <v>370</v>
      </c>
      <c r="D79" s="207">
        <v>530000</v>
      </c>
      <c r="E79" s="207">
        <v>530000</v>
      </c>
      <c r="F79" s="207">
        <v>469825</v>
      </c>
      <c r="G79" s="208">
        <f t="shared" si="2"/>
        <v>0.8864622641509434</v>
      </c>
      <c r="H79" s="136"/>
    </row>
    <row r="80" spans="1:8" ht="19.5" customHeight="1">
      <c r="A80" s="38"/>
      <c r="B80" s="97"/>
      <c r="C80" s="156" t="s">
        <v>371</v>
      </c>
      <c r="D80" s="203">
        <v>40000</v>
      </c>
      <c r="E80" s="207">
        <v>40000</v>
      </c>
      <c r="F80" s="207">
        <v>16641</v>
      </c>
      <c r="G80" s="208">
        <f t="shared" si="2"/>
        <v>0.416025</v>
      </c>
      <c r="H80" s="136"/>
    </row>
    <row r="81" spans="1:8" ht="19.5" customHeight="1">
      <c r="A81" s="38"/>
      <c r="B81" s="97"/>
      <c r="C81" s="98" t="s">
        <v>372</v>
      </c>
      <c r="D81" s="204">
        <v>1200000</v>
      </c>
      <c r="E81" s="204">
        <v>1200000</v>
      </c>
      <c r="F81" s="204">
        <f>1264494+11954</f>
        <v>1276448</v>
      </c>
      <c r="G81" s="205">
        <f t="shared" si="2"/>
        <v>1.0637066666666666</v>
      </c>
      <c r="H81" s="136"/>
    </row>
    <row r="82" spans="1:8" ht="19.5" customHeight="1">
      <c r="A82" s="38"/>
      <c r="B82" s="97"/>
      <c r="C82" s="188" t="s">
        <v>373</v>
      </c>
      <c r="D82" s="215"/>
      <c r="E82" s="215"/>
      <c r="F82" s="215">
        <v>6762</v>
      </c>
      <c r="G82" s="216"/>
      <c r="H82" s="136"/>
    </row>
    <row r="83" spans="1:8" ht="19.5" customHeight="1">
      <c r="A83" s="38"/>
      <c r="B83" s="126"/>
      <c r="C83" s="51" t="s">
        <v>374</v>
      </c>
      <c r="D83" s="210">
        <v>100000</v>
      </c>
      <c r="E83" s="217">
        <v>100000</v>
      </c>
      <c r="F83" s="217">
        <v>55612</v>
      </c>
      <c r="G83" s="218">
        <f aca="true" t="shared" si="3" ref="G83:G88">F83/E83</f>
        <v>0.55612</v>
      </c>
      <c r="H83" s="136"/>
    </row>
    <row r="84" spans="1:8" ht="19.5" customHeight="1">
      <c r="A84" s="89"/>
      <c r="B84" s="66">
        <v>75619</v>
      </c>
      <c r="C84" s="66" t="s">
        <v>375</v>
      </c>
      <c r="D84" s="212">
        <f>D85</f>
        <v>500</v>
      </c>
      <c r="E84" s="213">
        <f>E85</f>
        <v>500</v>
      </c>
      <c r="F84" s="213">
        <f>F85</f>
        <v>1101</v>
      </c>
      <c r="G84" s="219">
        <f t="shared" si="3"/>
        <v>2.202</v>
      </c>
      <c r="H84" s="136"/>
    </row>
    <row r="85" spans="1:8" ht="19.5" customHeight="1">
      <c r="A85" s="38"/>
      <c r="B85" s="70"/>
      <c r="C85" s="71" t="s">
        <v>376</v>
      </c>
      <c r="D85" s="220">
        <v>500</v>
      </c>
      <c r="E85" s="220">
        <v>500</v>
      </c>
      <c r="F85" s="220">
        <v>1101</v>
      </c>
      <c r="G85" s="221">
        <f t="shared" si="3"/>
        <v>2.202</v>
      </c>
      <c r="H85" s="183"/>
    </row>
    <row r="86" spans="1:8" ht="19.5" customHeight="1">
      <c r="A86" s="89"/>
      <c r="B86" s="66">
        <v>75621</v>
      </c>
      <c r="C86" s="79" t="s">
        <v>377</v>
      </c>
      <c r="D86" s="170">
        <f>D87+D88</f>
        <v>117649260</v>
      </c>
      <c r="E86" s="222">
        <f>E87+E88</f>
        <v>117649260</v>
      </c>
      <c r="F86" s="222">
        <f>SUM(F87:F88)</f>
        <v>108128855</v>
      </c>
      <c r="G86" s="171">
        <f t="shared" si="3"/>
        <v>0.9190780715492813</v>
      </c>
      <c r="H86" s="84"/>
    </row>
    <row r="87" spans="1:8" ht="19.5" customHeight="1">
      <c r="A87" s="38"/>
      <c r="B87" s="97"/>
      <c r="C87" s="93" t="s">
        <v>378</v>
      </c>
      <c r="D87" s="151">
        <v>107149260</v>
      </c>
      <c r="E87" s="151">
        <v>107149260</v>
      </c>
      <c r="F87" s="151">
        <v>99531605</v>
      </c>
      <c r="G87" s="152">
        <f t="shared" si="3"/>
        <v>0.9289061352360249</v>
      </c>
      <c r="H87" s="223"/>
    </row>
    <row r="88" spans="1:8" ht="19.5" customHeight="1">
      <c r="A88" s="38"/>
      <c r="B88" s="97"/>
      <c r="C88" s="189" t="s">
        <v>379</v>
      </c>
      <c r="D88" s="224">
        <v>10500000</v>
      </c>
      <c r="E88" s="224">
        <v>10500000</v>
      </c>
      <c r="F88" s="224">
        <v>8597250</v>
      </c>
      <c r="G88" s="225">
        <f t="shared" si="3"/>
        <v>0.8187857142857143</v>
      </c>
      <c r="H88" s="226"/>
    </row>
    <row r="89" spans="1:8" ht="19.5" customHeight="1">
      <c r="A89" s="137">
        <v>758</v>
      </c>
      <c r="B89" s="153"/>
      <c r="C89" s="58" t="s">
        <v>380</v>
      </c>
      <c r="D89" s="227">
        <f>D90</f>
        <v>1000000</v>
      </c>
      <c r="E89" s="228">
        <f>E90</f>
        <v>1000000</v>
      </c>
      <c r="F89" s="228">
        <f>F90+F94</f>
        <v>-15711</v>
      </c>
      <c r="G89" s="229"/>
      <c r="H89" s="230"/>
    </row>
    <row r="90" spans="1:8" ht="19.5" customHeight="1">
      <c r="A90" s="89"/>
      <c r="B90" s="178">
        <v>75814</v>
      </c>
      <c r="C90" s="178" t="s">
        <v>381</v>
      </c>
      <c r="D90" s="231">
        <f>D91</f>
        <v>1000000</v>
      </c>
      <c r="E90" s="232">
        <f>E91</f>
        <v>1000000</v>
      </c>
      <c r="F90" s="232">
        <f>SUM(F91:F93)</f>
        <v>-35603</v>
      </c>
      <c r="G90" s="233"/>
      <c r="H90" s="182"/>
    </row>
    <row r="91" spans="1:8" ht="19.5" customHeight="1">
      <c r="A91" s="38"/>
      <c r="B91" s="92"/>
      <c r="C91" s="93" t="s">
        <v>382</v>
      </c>
      <c r="D91" s="151">
        <v>1000000</v>
      </c>
      <c r="E91" s="151">
        <v>1000000</v>
      </c>
      <c r="F91" s="151">
        <v>323599</v>
      </c>
      <c r="G91" s="152">
        <f>F91/E91</f>
        <v>0.323599</v>
      </c>
      <c r="H91" s="183"/>
    </row>
    <row r="92" spans="1:8" ht="25.5" customHeight="1">
      <c r="A92" s="38"/>
      <c r="B92" s="97"/>
      <c r="C92" s="156" t="s">
        <v>383</v>
      </c>
      <c r="D92" s="99"/>
      <c r="E92" s="99"/>
      <c r="F92" s="99">
        <v>-394240</v>
      </c>
      <c r="G92" s="100"/>
      <c r="H92" s="183"/>
    </row>
    <row r="93" spans="1:8" ht="19.5" customHeight="1">
      <c r="A93" s="38"/>
      <c r="B93" s="97"/>
      <c r="C93" s="234" t="s">
        <v>331</v>
      </c>
      <c r="D93" s="134"/>
      <c r="E93" s="134"/>
      <c r="F93" s="134">
        <f>1029+34009</f>
        <v>35038</v>
      </c>
      <c r="G93" s="135"/>
      <c r="H93" s="183"/>
    </row>
    <row r="94" spans="1:9" s="149" customFormat="1" ht="19.5" customHeight="1">
      <c r="A94" s="89"/>
      <c r="B94" s="169">
        <v>75815</v>
      </c>
      <c r="C94" s="90" t="s">
        <v>384</v>
      </c>
      <c r="D94" s="179"/>
      <c r="E94" s="179"/>
      <c r="F94" s="179">
        <f>F95</f>
        <v>19892</v>
      </c>
      <c r="G94" s="235"/>
      <c r="H94" s="236"/>
      <c r="I94" s="148"/>
    </row>
    <row r="95" spans="1:8" ht="19.5" customHeight="1">
      <c r="A95" s="38"/>
      <c r="B95" s="97"/>
      <c r="C95" s="234" t="s">
        <v>385</v>
      </c>
      <c r="D95" s="134"/>
      <c r="E95" s="134"/>
      <c r="F95" s="134">
        <v>19892</v>
      </c>
      <c r="G95" s="135"/>
      <c r="H95" s="183"/>
    </row>
    <row r="96" spans="1:8" ht="19.5" customHeight="1">
      <c r="A96" s="137">
        <v>801</v>
      </c>
      <c r="B96" s="153"/>
      <c r="C96" s="139" t="s">
        <v>386</v>
      </c>
      <c r="D96" s="140">
        <f>D97+D101+D105</f>
        <v>276360</v>
      </c>
      <c r="E96" s="141">
        <f>E97+E101+E105</f>
        <v>276360</v>
      </c>
      <c r="F96" s="141">
        <f>F97+F101+F105</f>
        <v>214249</v>
      </c>
      <c r="G96" s="154">
        <f aca="true" t="shared" si="4" ref="G96:G107">F96/E96</f>
        <v>0.7752532928064843</v>
      </c>
      <c r="H96" s="237"/>
    </row>
    <row r="97" spans="1:8" ht="19.5" customHeight="1">
      <c r="A97" s="89"/>
      <c r="B97" s="66">
        <v>80101</v>
      </c>
      <c r="C97" s="80" t="s">
        <v>387</v>
      </c>
      <c r="D97" s="81">
        <f>D98+D99+D100</f>
        <v>136000</v>
      </c>
      <c r="E97" s="82">
        <f>E98+E99+E100</f>
        <v>136000</v>
      </c>
      <c r="F97" s="82">
        <f>SUM(F98:F100)</f>
        <v>62376</v>
      </c>
      <c r="G97" s="83">
        <f t="shared" si="4"/>
        <v>0.4586470588235294</v>
      </c>
      <c r="H97" s="84"/>
    </row>
    <row r="98" spans="1:8" ht="19.5" customHeight="1">
      <c r="A98" s="89"/>
      <c r="B98" s="238"/>
      <c r="C98" s="118" t="s">
        <v>382</v>
      </c>
      <c r="D98" s="119">
        <v>110000</v>
      </c>
      <c r="E98" s="119">
        <v>110000</v>
      </c>
      <c r="F98" s="119">
        <v>39496</v>
      </c>
      <c r="G98" s="120">
        <f t="shared" si="4"/>
        <v>0.35905454545454546</v>
      </c>
      <c r="H98" s="172"/>
    </row>
    <row r="99" spans="1:8" ht="39" customHeight="1">
      <c r="A99" s="89"/>
      <c r="B99" s="238"/>
      <c r="C99" s="156" t="s">
        <v>388</v>
      </c>
      <c r="D99" s="99">
        <v>16000</v>
      </c>
      <c r="E99" s="99">
        <v>16000</v>
      </c>
      <c r="F99" s="99">
        <v>13198</v>
      </c>
      <c r="G99" s="100">
        <f t="shared" si="4"/>
        <v>0.824875</v>
      </c>
      <c r="H99" s="172"/>
    </row>
    <row r="100" spans="1:8" ht="19.5" customHeight="1">
      <c r="A100" s="38"/>
      <c r="B100" s="126"/>
      <c r="C100" s="86" t="s">
        <v>331</v>
      </c>
      <c r="D100" s="87">
        <v>10000</v>
      </c>
      <c r="E100" s="87">
        <v>10000</v>
      </c>
      <c r="F100" s="87">
        <v>9682</v>
      </c>
      <c r="G100" s="88">
        <f t="shared" si="4"/>
        <v>0.9682</v>
      </c>
      <c r="H100" s="195"/>
    </row>
    <row r="101" spans="1:8" ht="19.5" customHeight="1">
      <c r="A101" s="89"/>
      <c r="B101" s="66">
        <v>80104</v>
      </c>
      <c r="C101" s="80" t="s">
        <v>389</v>
      </c>
      <c r="D101" s="81">
        <f>D102+D103+D104</f>
        <v>81360</v>
      </c>
      <c r="E101" s="82">
        <f>E102+E103+E104</f>
        <v>81360</v>
      </c>
      <c r="F101" s="82">
        <f>SUM(F102:F104)</f>
        <v>96682</v>
      </c>
      <c r="G101" s="83">
        <f t="shared" si="4"/>
        <v>1.1883235004916421</v>
      </c>
      <c r="H101" s="84"/>
    </row>
    <row r="102" spans="1:8" ht="19.5" customHeight="1">
      <c r="A102" s="38"/>
      <c r="B102" s="92"/>
      <c r="C102" s="150" t="s">
        <v>390</v>
      </c>
      <c r="D102" s="151">
        <v>81000</v>
      </c>
      <c r="E102" s="239">
        <v>81000</v>
      </c>
      <c r="F102" s="239">
        <v>96373</v>
      </c>
      <c r="G102" s="240">
        <f t="shared" si="4"/>
        <v>1.18979012345679</v>
      </c>
      <c r="H102" s="223"/>
    </row>
    <row r="103" spans="1:8" ht="19.5" customHeight="1">
      <c r="A103" s="38"/>
      <c r="B103" s="97"/>
      <c r="C103" s="103" t="s">
        <v>382</v>
      </c>
      <c r="D103" s="99">
        <v>140</v>
      </c>
      <c r="E103" s="241">
        <v>140</v>
      </c>
      <c r="F103" s="241">
        <v>79</v>
      </c>
      <c r="G103" s="242">
        <f t="shared" si="4"/>
        <v>0.5642857142857143</v>
      </c>
      <c r="H103" s="243"/>
    </row>
    <row r="104" spans="1:8" ht="38.25" customHeight="1">
      <c r="A104" s="38"/>
      <c r="B104" s="51"/>
      <c r="C104" s="173" t="s">
        <v>388</v>
      </c>
      <c r="D104" s="87">
        <v>220</v>
      </c>
      <c r="E104" s="244">
        <v>220</v>
      </c>
      <c r="F104" s="244">
        <v>230</v>
      </c>
      <c r="G104" s="245">
        <f t="shared" si="4"/>
        <v>1.0454545454545454</v>
      </c>
      <c r="H104" s="243"/>
    </row>
    <row r="105" spans="1:8" ht="19.5" customHeight="1">
      <c r="A105" s="89"/>
      <c r="B105" s="66">
        <v>80110</v>
      </c>
      <c r="C105" s="80" t="s">
        <v>391</v>
      </c>
      <c r="D105" s="81">
        <f>SUM(D106:D107)</f>
        <v>59000</v>
      </c>
      <c r="E105" s="82">
        <f>SUM(E106:E107)</f>
        <v>59000</v>
      </c>
      <c r="F105" s="82">
        <f>SUM(F106:F108)</f>
        <v>55191</v>
      </c>
      <c r="G105" s="146">
        <f t="shared" si="4"/>
        <v>0.9354406779661016</v>
      </c>
      <c r="H105" s="84"/>
    </row>
    <row r="106" spans="1:8" ht="19.5" customHeight="1">
      <c r="A106" s="89"/>
      <c r="B106" s="238"/>
      <c r="C106" s="118" t="s">
        <v>392</v>
      </c>
      <c r="D106" s="119">
        <v>50000</v>
      </c>
      <c r="E106" s="246">
        <v>50000</v>
      </c>
      <c r="F106" s="246">
        <v>23481</v>
      </c>
      <c r="G106" s="247">
        <f t="shared" si="4"/>
        <v>0.46962</v>
      </c>
      <c r="H106" s="172"/>
    </row>
    <row r="107" spans="1:8" ht="38.25" customHeight="1">
      <c r="A107" s="38"/>
      <c r="B107" s="97"/>
      <c r="C107" s="156" t="s">
        <v>388</v>
      </c>
      <c r="D107" s="99">
        <v>9000</v>
      </c>
      <c r="E107" s="241">
        <v>9000</v>
      </c>
      <c r="F107" s="241">
        <v>7384</v>
      </c>
      <c r="G107" s="242">
        <f t="shared" si="4"/>
        <v>0.8204444444444444</v>
      </c>
      <c r="H107" s="104"/>
    </row>
    <row r="108" spans="1:8" ht="19.5" customHeight="1">
      <c r="A108" s="50"/>
      <c r="B108" s="126"/>
      <c r="C108" s="173" t="s">
        <v>331</v>
      </c>
      <c r="D108" s="87"/>
      <c r="E108" s="244"/>
      <c r="F108" s="244">
        <v>24326</v>
      </c>
      <c r="G108" s="245"/>
      <c r="H108" s="165"/>
    </row>
    <row r="109" spans="1:8" ht="19.5" customHeight="1">
      <c r="A109" s="177">
        <v>851</v>
      </c>
      <c r="B109" s="58"/>
      <c r="C109" s="76" t="s">
        <v>393</v>
      </c>
      <c r="D109" s="60">
        <f>D110</f>
        <v>60000</v>
      </c>
      <c r="E109" s="61">
        <f>E110</f>
        <v>60000</v>
      </c>
      <c r="F109" s="61">
        <f>F110</f>
        <v>57818</v>
      </c>
      <c r="G109" s="77">
        <f aca="true" t="shared" si="5" ref="G109:G130">F109/E109</f>
        <v>0.9636333333333333</v>
      </c>
      <c r="H109" s="63"/>
    </row>
    <row r="110" spans="1:8" ht="19.5" customHeight="1">
      <c r="A110" s="248"/>
      <c r="B110" s="249">
        <v>85158</v>
      </c>
      <c r="C110" s="250" t="s">
        <v>394</v>
      </c>
      <c r="D110" s="251">
        <v>60000</v>
      </c>
      <c r="E110" s="251">
        <v>60000</v>
      </c>
      <c r="F110" s="251">
        <f>F111</f>
        <v>57818</v>
      </c>
      <c r="G110" s="252">
        <f t="shared" si="5"/>
        <v>0.9636333333333333</v>
      </c>
      <c r="H110" s="253"/>
    </row>
    <row r="111" spans="1:8" ht="19.5" customHeight="1">
      <c r="A111" s="50"/>
      <c r="B111" s="249"/>
      <c r="C111" s="86" t="s">
        <v>331</v>
      </c>
      <c r="D111" s="254">
        <v>60000</v>
      </c>
      <c r="E111" s="255">
        <v>60000</v>
      </c>
      <c r="F111" s="255">
        <v>57818</v>
      </c>
      <c r="G111" s="256">
        <f t="shared" si="5"/>
        <v>0.9636333333333333</v>
      </c>
      <c r="H111" s="253"/>
    </row>
    <row r="112" spans="1:8" ht="19.5" customHeight="1">
      <c r="A112" s="177">
        <v>853</v>
      </c>
      <c r="B112" s="58" t="s">
        <v>293</v>
      </c>
      <c r="C112" s="76" t="s">
        <v>395</v>
      </c>
      <c r="D112" s="60">
        <f>D113+D118+D123+D126+D128+D133+D136</f>
        <v>1981500</v>
      </c>
      <c r="E112" s="61">
        <f>E113+E118+E123+E126+E128+E133+E136</f>
        <v>1981500</v>
      </c>
      <c r="F112" s="61">
        <f>F113+F118+F123+F126+F128+F133+F136</f>
        <v>1899593</v>
      </c>
      <c r="G112" s="77">
        <f t="shared" si="5"/>
        <v>0.9586641433257633</v>
      </c>
      <c r="H112" s="63"/>
    </row>
    <row r="113" spans="1:8" ht="19.5" customHeight="1">
      <c r="A113" s="38"/>
      <c r="B113" s="249">
        <v>85303</v>
      </c>
      <c r="C113" s="250" t="s">
        <v>396</v>
      </c>
      <c r="D113" s="251">
        <f>SUM(D114:D117)</f>
        <v>57300</v>
      </c>
      <c r="E113" s="257">
        <f>SUM(E114:E117)</f>
        <v>57300</v>
      </c>
      <c r="F113" s="257">
        <f>SUM(F114:F117)</f>
        <v>55334</v>
      </c>
      <c r="G113" s="252">
        <f t="shared" si="5"/>
        <v>0.9656893542757418</v>
      </c>
      <c r="H113" s="258"/>
    </row>
    <row r="114" spans="1:8" ht="19.5" customHeight="1">
      <c r="A114" s="38"/>
      <c r="B114" s="259"/>
      <c r="C114" s="260" t="s">
        <v>397</v>
      </c>
      <c r="D114" s="261">
        <v>53000</v>
      </c>
      <c r="E114" s="262">
        <v>53000</v>
      </c>
      <c r="F114" s="262">
        <v>51406</v>
      </c>
      <c r="G114" s="263">
        <f t="shared" si="5"/>
        <v>0.9699245283018868</v>
      </c>
      <c r="H114" s="258"/>
    </row>
    <row r="115" spans="1:8" ht="19.5" customHeight="1">
      <c r="A115" s="38"/>
      <c r="B115" s="259"/>
      <c r="C115" s="264" t="s">
        <v>382</v>
      </c>
      <c r="D115" s="265">
        <v>3500</v>
      </c>
      <c r="E115" s="266">
        <v>3500</v>
      </c>
      <c r="F115" s="266">
        <v>2856</v>
      </c>
      <c r="G115" s="267">
        <f t="shared" si="5"/>
        <v>0.816</v>
      </c>
      <c r="H115" s="253"/>
    </row>
    <row r="116" spans="1:8" ht="38.25">
      <c r="A116" s="38"/>
      <c r="B116" s="259"/>
      <c r="C116" s="156" t="s">
        <v>388</v>
      </c>
      <c r="D116" s="261">
        <v>500</v>
      </c>
      <c r="E116" s="262">
        <v>500</v>
      </c>
      <c r="F116" s="262">
        <v>417</v>
      </c>
      <c r="G116" s="263">
        <f t="shared" si="5"/>
        <v>0.834</v>
      </c>
      <c r="H116" s="258"/>
    </row>
    <row r="117" spans="1:8" ht="19.5" customHeight="1">
      <c r="A117" s="38"/>
      <c r="B117" s="268"/>
      <c r="C117" s="51" t="s">
        <v>331</v>
      </c>
      <c r="D117" s="254">
        <v>300</v>
      </c>
      <c r="E117" s="255">
        <v>300</v>
      </c>
      <c r="F117" s="255">
        <v>655</v>
      </c>
      <c r="G117" s="256">
        <f t="shared" si="5"/>
        <v>2.183333333333333</v>
      </c>
      <c r="H117" s="258"/>
    </row>
    <row r="118" spans="1:8" ht="19.5" customHeight="1">
      <c r="A118" s="89"/>
      <c r="B118" s="66">
        <v>85305</v>
      </c>
      <c r="C118" s="80" t="s">
        <v>398</v>
      </c>
      <c r="D118" s="81">
        <f>D119+D120+D121+D122</f>
        <v>505200</v>
      </c>
      <c r="E118" s="82">
        <f>E119+E120+E121+E122</f>
        <v>505200</v>
      </c>
      <c r="F118" s="82">
        <f>SUM(F119:F122)</f>
        <v>421686</v>
      </c>
      <c r="G118" s="83">
        <f t="shared" si="5"/>
        <v>0.8346912114014252</v>
      </c>
      <c r="H118" s="84"/>
    </row>
    <row r="119" spans="1:8" ht="19.5" customHeight="1">
      <c r="A119" s="38"/>
      <c r="B119" s="97"/>
      <c r="C119" s="150" t="s">
        <v>399</v>
      </c>
      <c r="D119" s="151">
        <v>500000</v>
      </c>
      <c r="E119" s="151">
        <v>500000</v>
      </c>
      <c r="F119" s="151">
        <v>416569</v>
      </c>
      <c r="G119" s="152">
        <f t="shared" si="5"/>
        <v>0.833138</v>
      </c>
      <c r="H119" s="155"/>
    </row>
    <row r="120" spans="1:8" ht="19.5" customHeight="1">
      <c r="A120" s="38"/>
      <c r="B120" s="97"/>
      <c r="C120" s="103" t="s">
        <v>382</v>
      </c>
      <c r="D120" s="99">
        <v>4000</v>
      </c>
      <c r="E120" s="99">
        <v>4000</v>
      </c>
      <c r="F120" s="99">
        <v>3808</v>
      </c>
      <c r="G120" s="100">
        <f t="shared" si="5"/>
        <v>0.952</v>
      </c>
      <c r="H120" s="155"/>
    </row>
    <row r="121" spans="1:8" ht="38.25" customHeight="1">
      <c r="A121" s="38"/>
      <c r="B121" s="97"/>
      <c r="C121" s="156" t="s">
        <v>388</v>
      </c>
      <c r="D121" s="99">
        <v>1000</v>
      </c>
      <c r="E121" s="241">
        <v>1000</v>
      </c>
      <c r="F121" s="241">
        <v>666</v>
      </c>
      <c r="G121" s="242">
        <f t="shared" si="5"/>
        <v>0.666</v>
      </c>
      <c r="H121" s="269"/>
    </row>
    <row r="122" spans="1:8" ht="19.5" customHeight="1">
      <c r="A122" s="38"/>
      <c r="B122" s="126"/>
      <c r="C122" s="51" t="s">
        <v>331</v>
      </c>
      <c r="D122" s="87">
        <v>200</v>
      </c>
      <c r="E122" s="244">
        <v>200</v>
      </c>
      <c r="F122" s="244">
        <v>643</v>
      </c>
      <c r="G122" s="245">
        <f t="shared" si="5"/>
        <v>3.215</v>
      </c>
      <c r="H122" s="243"/>
    </row>
    <row r="123" spans="1:8" ht="19.5" customHeight="1">
      <c r="A123" s="89"/>
      <c r="B123" s="66">
        <v>85314</v>
      </c>
      <c r="C123" s="79" t="s">
        <v>400</v>
      </c>
      <c r="D123" s="67">
        <f>D124+D125</f>
        <v>3100</v>
      </c>
      <c r="E123" s="190">
        <f>E124+E125</f>
        <v>3100</v>
      </c>
      <c r="F123" s="190">
        <f>SUM(F124:F125)</f>
        <v>8132</v>
      </c>
      <c r="G123" s="270">
        <f t="shared" si="5"/>
        <v>2.6232258064516127</v>
      </c>
      <c r="H123" s="69"/>
    </row>
    <row r="124" spans="1:8" ht="19.5" customHeight="1">
      <c r="A124" s="38"/>
      <c r="B124" s="271"/>
      <c r="C124" s="93" t="s">
        <v>401</v>
      </c>
      <c r="D124" s="94">
        <v>2000</v>
      </c>
      <c r="E124" s="193">
        <v>2000</v>
      </c>
      <c r="F124" s="193">
        <v>7816</v>
      </c>
      <c r="G124" s="194">
        <f t="shared" si="5"/>
        <v>3.908</v>
      </c>
      <c r="H124" s="136"/>
    </row>
    <row r="125" spans="1:8" ht="42" customHeight="1">
      <c r="A125" s="38"/>
      <c r="B125" s="126"/>
      <c r="C125" s="166" t="s">
        <v>388</v>
      </c>
      <c r="D125" s="184">
        <v>1100</v>
      </c>
      <c r="E125" s="272">
        <v>1100</v>
      </c>
      <c r="F125" s="272">
        <v>316</v>
      </c>
      <c r="G125" s="273">
        <f t="shared" si="5"/>
        <v>0.2872727272727273</v>
      </c>
      <c r="H125" s="226"/>
    </row>
    <row r="126" spans="1:8" ht="19.5" customHeight="1">
      <c r="A126" s="89"/>
      <c r="B126" s="66">
        <v>85315</v>
      </c>
      <c r="C126" s="80" t="s">
        <v>402</v>
      </c>
      <c r="D126" s="81">
        <f>D127</f>
        <v>2000</v>
      </c>
      <c r="E126" s="82">
        <f>E127</f>
        <v>2000</v>
      </c>
      <c r="F126" s="82">
        <f>F127</f>
        <v>1896</v>
      </c>
      <c r="G126" s="83">
        <f t="shared" si="5"/>
        <v>0.948</v>
      </c>
      <c r="H126" s="84"/>
    </row>
    <row r="127" spans="1:8" ht="19.5" customHeight="1">
      <c r="A127" s="38"/>
      <c r="B127" s="274"/>
      <c r="C127" s="275" t="s">
        <v>403</v>
      </c>
      <c r="D127" s="276">
        <v>2000</v>
      </c>
      <c r="E127" s="276">
        <v>2000</v>
      </c>
      <c r="F127" s="276">
        <v>1896</v>
      </c>
      <c r="G127" s="277">
        <f t="shared" si="5"/>
        <v>0.948</v>
      </c>
      <c r="H127" s="278"/>
    </row>
    <row r="128" spans="1:8" ht="19.5" customHeight="1">
      <c r="A128" s="89"/>
      <c r="B128" s="66">
        <v>85319</v>
      </c>
      <c r="C128" s="79" t="s">
        <v>404</v>
      </c>
      <c r="D128" s="81">
        <f>SUM(D129:D130)</f>
        <v>11800</v>
      </c>
      <c r="E128" s="82">
        <f>SUM(E129:E130)</f>
        <v>11800</v>
      </c>
      <c r="F128" s="82">
        <f>SUM(F129:F131)</f>
        <v>5610</v>
      </c>
      <c r="G128" s="146">
        <f t="shared" si="5"/>
        <v>0.4754237288135593</v>
      </c>
      <c r="H128" s="84"/>
    </row>
    <row r="129" spans="1:8" ht="19.5" customHeight="1">
      <c r="A129" s="89"/>
      <c r="B129" s="279"/>
      <c r="C129" s="93" t="s">
        <v>382</v>
      </c>
      <c r="D129" s="151">
        <v>6800</v>
      </c>
      <c r="E129" s="239">
        <v>6800</v>
      </c>
      <c r="F129" s="239">
        <v>3948</v>
      </c>
      <c r="G129" s="240">
        <f t="shared" si="5"/>
        <v>0.5805882352941176</v>
      </c>
      <c r="H129" s="172"/>
    </row>
    <row r="130" spans="1:8" ht="37.5" customHeight="1">
      <c r="A130" s="38"/>
      <c r="B130" s="97"/>
      <c r="C130" s="156" t="s">
        <v>388</v>
      </c>
      <c r="D130" s="99">
        <v>5000</v>
      </c>
      <c r="E130" s="241">
        <v>5000</v>
      </c>
      <c r="F130" s="241">
        <v>1630</v>
      </c>
      <c r="G130" s="242">
        <f t="shared" si="5"/>
        <v>0.326</v>
      </c>
      <c r="H130" s="280"/>
    </row>
    <row r="131" spans="1:8" ht="19.5" customHeight="1">
      <c r="A131" s="38"/>
      <c r="B131" s="97"/>
      <c r="C131" s="234" t="s">
        <v>331</v>
      </c>
      <c r="D131" s="134"/>
      <c r="E131" s="281"/>
      <c r="F131" s="281">
        <v>32</v>
      </c>
      <c r="G131" s="135"/>
      <c r="H131" s="282"/>
    </row>
    <row r="132" spans="1:8" ht="24.75" customHeight="1">
      <c r="A132" s="283"/>
      <c r="B132" s="284"/>
      <c r="C132" s="285"/>
      <c r="D132" s="286"/>
      <c r="E132" s="286"/>
      <c r="F132" s="286"/>
      <c r="G132" s="287"/>
      <c r="H132" s="287"/>
    </row>
    <row r="133" spans="1:8" ht="19.5" customHeight="1">
      <c r="A133" s="89"/>
      <c r="B133" s="66">
        <v>85328</v>
      </c>
      <c r="C133" s="79" t="s">
        <v>405</v>
      </c>
      <c r="D133" s="67">
        <f>D134</f>
        <v>1400000</v>
      </c>
      <c r="E133" s="190">
        <f>E134</f>
        <v>1400000</v>
      </c>
      <c r="F133" s="190">
        <f>SUM(F134:F135)</f>
        <v>1406935</v>
      </c>
      <c r="G133" s="68">
        <f>F133/E133</f>
        <v>1.0049535714285713</v>
      </c>
      <c r="H133" s="182"/>
    </row>
    <row r="134" spans="1:8" ht="19.5" customHeight="1">
      <c r="A134" s="38"/>
      <c r="B134" s="92"/>
      <c r="C134" s="192" t="s">
        <v>406</v>
      </c>
      <c r="D134" s="94">
        <v>1400000</v>
      </c>
      <c r="E134" s="94">
        <v>1400000</v>
      </c>
      <c r="F134" s="193">
        <v>1405298</v>
      </c>
      <c r="G134" s="95">
        <f>F134/E134</f>
        <v>1.0037842857142858</v>
      </c>
      <c r="H134" s="183"/>
    </row>
    <row r="135" spans="1:8" ht="19.5" customHeight="1">
      <c r="A135" s="38"/>
      <c r="B135" s="126"/>
      <c r="C135" s="51" t="s">
        <v>331</v>
      </c>
      <c r="D135" s="272"/>
      <c r="E135" s="272"/>
      <c r="F135" s="272">
        <v>1637</v>
      </c>
      <c r="G135" s="273"/>
      <c r="H135" s="288"/>
    </row>
    <row r="136" spans="1:8" ht="19.5" customHeight="1">
      <c r="A136" s="89"/>
      <c r="B136" s="66">
        <v>85395</v>
      </c>
      <c r="C136" s="79" t="s">
        <v>314</v>
      </c>
      <c r="D136" s="81">
        <f>D137</f>
        <v>2100</v>
      </c>
      <c r="E136" s="82">
        <f>E137</f>
        <v>2100</v>
      </c>
      <c r="F136" s="82"/>
      <c r="G136" s="146"/>
      <c r="H136" s="84"/>
    </row>
    <row r="137" spans="1:8" ht="19.5" customHeight="1">
      <c r="A137" s="50"/>
      <c r="B137" s="126"/>
      <c r="C137" s="173" t="s">
        <v>407</v>
      </c>
      <c r="D137" s="184">
        <v>2100</v>
      </c>
      <c r="E137" s="184">
        <v>2100</v>
      </c>
      <c r="F137" s="184"/>
      <c r="G137" s="185"/>
      <c r="H137" s="130"/>
    </row>
    <row r="138" spans="1:8" ht="19.5" customHeight="1">
      <c r="A138" s="177">
        <v>854</v>
      </c>
      <c r="B138" s="58"/>
      <c r="C138" s="76" t="s">
        <v>408</v>
      </c>
      <c r="D138" s="60">
        <f>D139+D143+D148+D151</f>
        <v>6131070</v>
      </c>
      <c r="E138" s="61">
        <f>E139+E143+E148+E151</f>
        <v>6131070</v>
      </c>
      <c r="F138" s="61">
        <f>F139+F143+F148+F151</f>
        <v>5999336</v>
      </c>
      <c r="G138" s="77">
        <f>F138/E138</f>
        <v>0.9785137015235513</v>
      </c>
      <c r="H138" s="63"/>
    </row>
    <row r="139" spans="1:8" ht="19.5" customHeight="1">
      <c r="A139" s="89"/>
      <c r="B139" s="66">
        <v>85401</v>
      </c>
      <c r="C139" s="80" t="s">
        <v>409</v>
      </c>
      <c r="D139" s="81">
        <f>D140+D141</f>
        <v>5860</v>
      </c>
      <c r="E139" s="82">
        <f>E140+E141</f>
        <v>5860</v>
      </c>
      <c r="F139" s="82">
        <f>SUM(F140:F142)</f>
        <v>3594</v>
      </c>
      <c r="G139" s="83">
        <f>F139/E139</f>
        <v>0.6133105802047781</v>
      </c>
      <c r="H139" s="84"/>
    </row>
    <row r="140" spans="1:8" ht="19.5" customHeight="1">
      <c r="A140" s="89"/>
      <c r="B140" s="279"/>
      <c r="C140" s="150" t="s">
        <v>382</v>
      </c>
      <c r="D140" s="151">
        <v>4500</v>
      </c>
      <c r="E140" s="239">
        <v>4500</v>
      </c>
      <c r="F140" s="239">
        <v>2506</v>
      </c>
      <c r="G140" s="240">
        <f>F140/E140</f>
        <v>0.5568888888888889</v>
      </c>
      <c r="H140" s="84"/>
    </row>
    <row r="141" spans="1:8" ht="42" customHeight="1">
      <c r="A141" s="89"/>
      <c r="B141" s="97"/>
      <c r="C141" s="156" t="s">
        <v>343</v>
      </c>
      <c r="D141" s="241">
        <v>1360</v>
      </c>
      <c r="E141" s="241">
        <v>1360</v>
      </c>
      <c r="F141" s="241">
        <v>1074</v>
      </c>
      <c r="G141" s="242">
        <f>F141/E141</f>
        <v>0.7897058823529411</v>
      </c>
      <c r="H141" s="74"/>
    </row>
    <row r="142" spans="1:8" ht="19.5" customHeight="1">
      <c r="A142" s="89"/>
      <c r="B142" s="126"/>
      <c r="C142" s="173" t="s">
        <v>331</v>
      </c>
      <c r="D142" s="87"/>
      <c r="E142" s="244"/>
      <c r="F142" s="244">
        <v>14</v>
      </c>
      <c r="G142" s="245"/>
      <c r="H142" s="243"/>
    </row>
    <row r="143" spans="1:8" ht="19.5" customHeight="1">
      <c r="A143" s="89"/>
      <c r="B143" s="66">
        <v>85404</v>
      </c>
      <c r="C143" s="80" t="s">
        <v>410</v>
      </c>
      <c r="D143" s="81">
        <f>D144+D145+D146</f>
        <v>6117000</v>
      </c>
      <c r="E143" s="82">
        <f>E144+E145+E146</f>
        <v>6117000</v>
      </c>
      <c r="F143" s="82">
        <f>SUM(F144:F147)</f>
        <v>5991880</v>
      </c>
      <c r="G143" s="83">
        <f>F143/E143</f>
        <v>0.9795455288540134</v>
      </c>
      <c r="H143" s="84"/>
    </row>
    <row r="144" spans="1:8" ht="19.5" customHeight="1">
      <c r="A144" s="38"/>
      <c r="B144" s="92"/>
      <c r="C144" s="150" t="s">
        <v>411</v>
      </c>
      <c r="D144" s="94">
        <v>6100000</v>
      </c>
      <c r="E144" s="193">
        <v>6100000</v>
      </c>
      <c r="F144" s="193">
        <v>5963360</v>
      </c>
      <c r="G144" s="194">
        <f>F144/E144</f>
        <v>0.9776</v>
      </c>
      <c r="H144" s="195"/>
    </row>
    <row r="145" spans="1:8" ht="19.5" customHeight="1">
      <c r="A145" s="38"/>
      <c r="B145" s="97"/>
      <c r="C145" s="133" t="s">
        <v>382</v>
      </c>
      <c r="D145" s="40">
        <v>9000</v>
      </c>
      <c r="E145" s="289">
        <v>9000</v>
      </c>
      <c r="F145" s="289">
        <v>4022</v>
      </c>
      <c r="G145" s="290">
        <f>F145/E145</f>
        <v>0.4468888888888889</v>
      </c>
      <c r="H145" s="125"/>
    </row>
    <row r="146" spans="1:8" ht="40.5" customHeight="1">
      <c r="A146" s="38"/>
      <c r="B146" s="97"/>
      <c r="C146" s="161" t="s">
        <v>343</v>
      </c>
      <c r="D146" s="291">
        <v>8000</v>
      </c>
      <c r="E146" s="292">
        <v>8000</v>
      </c>
      <c r="F146" s="292">
        <v>6795</v>
      </c>
      <c r="G146" s="293">
        <f>F146/E146</f>
        <v>0.849375</v>
      </c>
      <c r="H146" s="125"/>
    </row>
    <row r="147" spans="1:8" ht="23.25" customHeight="1">
      <c r="A147" s="38"/>
      <c r="B147" s="126"/>
      <c r="C147" s="166" t="s">
        <v>331</v>
      </c>
      <c r="D147" s="224"/>
      <c r="E147" s="294"/>
      <c r="F147" s="294">
        <v>17703</v>
      </c>
      <c r="G147" s="295"/>
      <c r="H147" s="136"/>
    </row>
    <row r="148" spans="1:9" s="7" customFormat="1" ht="19.5" customHeight="1">
      <c r="A148" s="89"/>
      <c r="B148" s="66">
        <v>85405</v>
      </c>
      <c r="C148" s="80" t="s">
        <v>412</v>
      </c>
      <c r="D148" s="81">
        <f>D149+D150</f>
        <v>3460</v>
      </c>
      <c r="E148" s="82">
        <f>E149+E150</f>
        <v>3460</v>
      </c>
      <c r="F148" s="82">
        <f>SUM(F149:F150)</f>
        <v>978</v>
      </c>
      <c r="G148" s="83">
        <f aca="true" t="shared" si="6" ref="G148:G153">F148/E148</f>
        <v>0.28265895953757225</v>
      </c>
      <c r="H148" s="84"/>
      <c r="I148" s="6"/>
    </row>
    <row r="149" spans="1:22" s="7" customFormat="1" ht="20.25" customHeight="1">
      <c r="A149" s="89"/>
      <c r="B149" s="279"/>
      <c r="C149" s="150" t="s">
        <v>382</v>
      </c>
      <c r="D149" s="151">
        <v>3000</v>
      </c>
      <c r="E149" s="151">
        <v>3000</v>
      </c>
      <c r="F149" s="151">
        <v>532</v>
      </c>
      <c r="G149" s="152">
        <f t="shared" si="6"/>
        <v>0.17733333333333334</v>
      </c>
      <c r="H149" s="84"/>
      <c r="I149" s="296"/>
      <c r="J149" s="297"/>
      <c r="K149" s="297"/>
      <c r="L149" s="297"/>
      <c r="M149" s="297"/>
      <c r="N149" s="297"/>
      <c r="O149" s="297"/>
      <c r="P149" s="297"/>
      <c r="Q149" s="297"/>
      <c r="R149" s="297"/>
      <c r="S149" s="297"/>
      <c r="T149" s="297"/>
      <c r="U149" s="297"/>
      <c r="V149" s="297"/>
    </row>
    <row r="150" spans="1:22" s="7" customFormat="1" ht="40.5" customHeight="1">
      <c r="A150" s="89"/>
      <c r="B150" s="66"/>
      <c r="C150" s="173" t="s">
        <v>343</v>
      </c>
      <c r="D150" s="87">
        <v>460</v>
      </c>
      <c r="E150" s="87">
        <v>460</v>
      </c>
      <c r="F150" s="87">
        <v>446</v>
      </c>
      <c r="G150" s="88">
        <f t="shared" si="6"/>
        <v>0.9695652173913043</v>
      </c>
      <c r="H150" s="84"/>
      <c r="I150" s="296"/>
      <c r="J150" s="297"/>
      <c r="K150" s="297"/>
      <c r="L150" s="297"/>
      <c r="M150" s="297"/>
      <c r="N150" s="297"/>
      <c r="O150" s="297"/>
      <c r="P150" s="297"/>
      <c r="Q150" s="297"/>
      <c r="R150" s="297"/>
      <c r="S150" s="297"/>
      <c r="T150" s="297"/>
      <c r="U150" s="297"/>
      <c r="V150" s="297"/>
    </row>
    <row r="151" spans="1:9" s="7" customFormat="1" ht="19.5" customHeight="1">
      <c r="A151" s="38"/>
      <c r="B151" s="65">
        <v>85495</v>
      </c>
      <c r="C151" s="80" t="s">
        <v>314</v>
      </c>
      <c r="D151" s="81">
        <f>D152+D153</f>
        <v>4750</v>
      </c>
      <c r="E151" s="82">
        <f>E152+E153</f>
        <v>4750</v>
      </c>
      <c r="F151" s="82">
        <f>SUM(F152:F154)</f>
        <v>2884</v>
      </c>
      <c r="G151" s="83">
        <f t="shared" si="6"/>
        <v>0.6071578947368421</v>
      </c>
      <c r="H151" s="165"/>
      <c r="I151" s="6"/>
    </row>
    <row r="152" spans="1:9" s="7" customFormat="1" ht="19.5" customHeight="1">
      <c r="A152" s="38"/>
      <c r="B152" s="97"/>
      <c r="C152" s="118" t="s">
        <v>382</v>
      </c>
      <c r="D152" s="119">
        <v>4000</v>
      </c>
      <c r="E152" s="246">
        <v>4000</v>
      </c>
      <c r="F152" s="246">
        <v>1669</v>
      </c>
      <c r="G152" s="247">
        <f t="shared" si="6"/>
        <v>0.41725</v>
      </c>
      <c r="H152" s="165"/>
      <c r="I152" s="6"/>
    </row>
    <row r="153" spans="1:9" s="7" customFormat="1" ht="42" customHeight="1">
      <c r="A153" s="38"/>
      <c r="B153" s="97"/>
      <c r="C153" s="161" t="s">
        <v>343</v>
      </c>
      <c r="D153" s="298">
        <v>750</v>
      </c>
      <c r="E153" s="281">
        <v>750</v>
      </c>
      <c r="F153" s="281">
        <v>644</v>
      </c>
      <c r="G153" s="299">
        <f t="shared" si="6"/>
        <v>0.8586666666666667</v>
      </c>
      <c r="H153" s="165"/>
      <c r="I153" s="6"/>
    </row>
    <row r="154" spans="1:9" s="7" customFormat="1" ht="21.75" customHeight="1">
      <c r="A154" s="50"/>
      <c r="B154" s="126"/>
      <c r="C154" s="166" t="s">
        <v>331</v>
      </c>
      <c r="D154" s="128"/>
      <c r="E154" s="300"/>
      <c r="F154" s="300">
        <v>571</v>
      </c>
      <c r="G154" s="301"/>
      <c r="H154" s="165"/>
      <c r="I154" s="6"/>
    </row>
    <row r="155" spans="1:9" s="7" customFormat="1" ht="21.75" customHeight="1">
      <c r="A155" s="283"/>
      <c r="B155" s="284"/>
      <c r="C155" s="285"/>
      <c r="D155" s="286"/>
      <c r="E155" s="286"/>
      <c r="F155" s="286"/>
      <c r="G155" s="287"/>
      <c r="H155" s="113"/>
      <c r="I155" s="6"/>
    </row>
    <row r="156" spans="1:9" s="7" customFormat="1" ht="21.75" customHeight="1">
      <c r="A156" s="1"/>
      <c r="B156" s="115"/>
      <c r="C156" s="302"/>
      <c r="D156" s="112"/>
      <c r="E156" s="112"/>
      <c r="F156" s="112"/>
      <c r="G156" s="113"/>
      <c r="H156" s="113"/>
      <c r="I156" s="6"/>
    </row>
    <row r="157" spans="1:9" s="7" customFormat="1" ht="19.5" customHeight="1">
      <c r="A157" s="177">
        <v>900</v>
      </c>
      <c r="B157" s="58"/>
      <c r="C157" s="59" t="s">
        <v>413</v>
      </c>
      <c r="D157" s="227">
        <f>D158+D161+D163+D168</f>
        <v>11111000</v>
      </c>
      <c r="E157" s="228">
        <f>E158+E161+E163+E168</f>
        <v>11111000</v>
      </c>
      <c r="F157" s="228">
        <f>F158+F161+F163+F166+F168</f>
        <v>9837090</v>
      </c>
      <c r="G157" s="303">
        <f aca="true" t="shared" si="7" ref="G157:G164">F157/E157</f>
        <v>0.8853469534695347</v>
      </c>
      <c r="H157" s="304"/>
      <c r="I157" s="6"/>
    </row>
    <row r="158" spans="1:9" s="7" customFormat="1" ht="19.5" customHeight="1">
      <c r="A158" s="89"/>
      <c r="B158" s="66">
        <v>90003</v>
      </c>
      <c r="C158" s="79" t="s">
        <v>414</v>
      </c>
      <c r="D158" s="67">
        <f>D159+D160</f>
        <v>10002000</v>
      </c>
      <c r="E158" s="190">
        <f>E159+E160</f>
        <v>10002000</v>
      </c>
      <c r="F158" s="190">
        <f>SUM(F159:F160)</f>
        <v>8761212</v>
      </c>
      <c r="G158" s="68">
        <f t="shared" si="7"/>
        <v>0.8759460107978404</v>
      </c>
      <c r="H158" s="69"/>
      <c r="I158" s="6"/>
    </row>
    <row r="159" spans="1:9" s="7" customFormat="1" ht="19.5" customHeight="1">
      <c r="A159" s="38"/>
      <c r="B159" s="92"/>
      <c r="C159" s="93" t="s">
        <v>415</v>
      </c>
      <c r="D159" s="94">
        <v>10000000</v>
      </c>
      <c r="E159" s="94">
        <v>10000000</v>
      </c>
      <c r="F159" s="94">
        <v>8758863</v>
      </c>
      <c r="G159" s="95">
        <f t="shared" si="7"/>
        <v>0.8758863</v>
      </c>
      <c r="H159" s="195"/>
      <c r="I159" s="6"/>
    </row>
    <row r="160" spans="1:9" s="7" customFormat="1" ht="19.5" customHeight="1">
      <c r="A160" s="38"/>
      <c r="B160" s="126"/>
      <c r="C160" s="173" t="s">
        <v>329</v>
      </c>
      <c r="D160" s="224">
        <v>2000</v>
      </c>
      <c r="E160" s="294">
        <v>2000</v>
      </c>
      <c r="F160" s="294">
        <v>2349</v>
      </c>
      <c r="G160" s="295">
        <f t="shared" si="7"/>
        <v>1.1745</v>
      </c>
      <c r="H160" s="305"/>
      <c r="I160" s="6"/>
    </row>
    <row r="161" spans="1:9" s="7" customFormat="1" ht="19.5" customHeight="1">
      <c r="A161" s="38"/>
      <c r="B161" s="66">
        <v>90011</v>
      </c>
      <c r="C161" s="79" t="s">
        <v>416</v>
      </c>
      <c r="D161" s="67">
        <f>D162</f>
        <v>150000</v>
      </c>
      <c r="E161" s="190">
        <f>E162</f>
        <v>150000</v>
      </c>
      <c r="F161" s="190">
        <f>F162</f>
        <v>44670</v>
      </c>
      <c r="G161" s="270">
        <f t="shared" si="7"/>
        <v>0.2978</v>
      </c>
      <c r="H161" s="130"/>
      <c r="I161" s="6"/>
    </row>
    <row r="162" spans="1:9" s="7" customFormat="1" ht="19.5" customHeight="1">
      <c r="A162" s="38"/>
      <c r="B162" s="70"/>
      <c r="C162" s="71" t="s">
        <v>382</v>
      </c>
      <c r="D162" s="276">
        <v>150000</v>
      </c>
      <c r="E162" s="306">
        <v>150000</v>
      </c>
      <c r="F162" s="306">
        <v>44670</v>
      </c>
      <c r="G162" s="307">
        <f t="shared" si="7"/>
        <v>0.2978</v>
      </c>
      <c r="H162" s="136"/>
      <c r="I162" s="6"/>
    </row>
    <row r="163" spans="1:9" s="7" customFormat="1" ht="19.5" customHeight="1">
      <c r="A163" s="89"/>
      <c r="B163" s="66">
        <v>90013</v>
      </c>
      <c r="C163" s="79" t="s">
        <v>417</v>
      </c>
      <c r="D163" s="67">
        <f>D164</f>
        <v>12000</v>
      </c>
      <c r="E163" s="190">
        <f>E164</f>
        <v>12000</v>
      </c>
      <c r="F163" s="190">
        <f>SUM(F164:F165)</f>
        <v>11089</v>
      </c>
      <c r="G163" s="68">
        <f t="shared" si="7"/>
        <v>0.9240833333333334</v>
      </c>
      <c r="H163" s="69"/>
      <c r="I163" s="6"/>
    </row>
    <row r="164" spans="1:256" s="7" customFormat="1" ht="19.5" customHeight="1">
      <c r="A164" s="89"/>
      <c r="B164" s="279"/>
      <c r="C164" s="93" t="s">
        <v>418</v>
      </c>
      <c r="D164" s="94">
        <v>12000</v>
      </c>
      <c r="E164" s="94">
        <v>12000</v>
      </c>
      <c r="F164" s="94">
        <v>10955</v>
      </c>
      <c r="G164" s="95">
        <f t="shared" si="7"/>
        <v>0.9129166666666667</v>
      </c>
      <c r="H164" s="69"/>
      <c r="I164" s="6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1:8" ht="19.5" customHeight="1">
      <c r="A165" s="38"/>
      <c r="B165" s="126"/>
      <c r="C165" s="173" t="s">
        <v>331</v>
      </c>
      <c r="D165" s="184"/>
      <c r="E165" s="184"/>
      <c r="F165" s="184">
        <v>134</v>
      </c>
      <c r="G165" s="185"/>
      <c r="H165" s="308"/>
    </row>
    <row r="166" spans="1:9" s="149" customFormat="1" ht="19.5" customHeight="1">
      <c r="A166" s="89"/>
      <c r="B166" s="65">
        <v>90015</v>
      </c>
      <c r="C166" s="79" t="s">
        <v>419</v>
      </c>
      <c r="D166" s="67"/>
      <c r="E166" s="67"/>
      <c r="F166" s="67">
        <f>F167</f>
        <v>16347</v>
      </c>
      <c r="G166" s="68"/>
      <c r="H166" s="182"/>
      <c r="I166" s="148"/>
    </row>
    <row r="167" spans="1:8" ht="19.5" customHeight="1">
      <c r="A167" s="38"/>
      <c r="B167" s="126"/>
      <c r="C167" s="173" t="s">
        <v>331</v>
      </c>
      <c r="D167" s="184"/>
      <c r="E167" s="184"/>
      <c r="F167" s="184">
        <v>16347</v>
      </c>
      <c r="G167" s="185"/>
      <c r="H167" s="308"/>
    </row>
    <row r="168" spans="1:8" ht="19.5" customHeight="1">
      <c r="A168" s="89"/>
      <c r="B168" s="66">
        <v>90095</v>
      </c>
      <c r="C168" s="80" t="s">
        <v>314</v>
      </c>
      <c r="D168" s="81">
        <f>SUM(D169+D170+D171+D172)</f>
        <v>947000</v>
      </c>
      <c r="E168" s="82">
        <f>SUM(E169+E170+E171+E172)</f>
        <v>947000</v>
      </c>
      <c r="F168" s="82">
        <f>SUM(F169:F172)</f>
        <v>1003772</v>
      </c>
      <c r="G168" s="83">
        <f aca="true" t="shared" si="8" ref="G168:G181">F168/E168</f>
        <v>1.0599493136219642</v>
      </c>
      <c r="H168" s="91"/>
    </row>
    <row r="169" spans="1:8" ht="19.5" customHeight="1">
      <c r="A169" s="38"/>
      <c r="B169" s="92"/>
      <c r="C169" s="150" t="s">
        <v>420</v>
      </c>
      <c r="D169" s="151">
        <v>42000</v>
      </c>
      <c r="E169" s="239">
        <v>42000</v>
      </c>
      <c r="F169" s="239">
        <v>46037</v>
      </c>
      <c r="G169" s="240">
        <f t="shared" si="8"/>
        <v>1.0961190476190477</v>
      </c>
      <c r="H169" s="223"/>
    </row>
    <row r="170" spans="1:8" ht="19.5" customHeight="1">
      <c r="A170" s="38"/>
      <c r="B170" s="97"/>
      <c r="C170" s="118" t="s">
        <v>421</v>
      </c>
      <c r="D170" s="119">
        <v>700000</v>
      </c>
      <c r="E170" s="246">
        <v>700000</v>
      </c>
      <c r="F170" s="246">
        <v>805346</v>
      </c>
      <c r="G170" s="247">
        <f t="shared" si="8"/>
        <v>1.1504942857142857</v>
      </c>
      <c r="H170" s="155"/>
    </row>
    <row r="171" spans="1:8" ht="28.5" customHeight="1">
      <c r="A171" s="38"/>
      <c r="B171" s="39"/>
      <c r="C171" s="156" t="s">
        <v>422</v>
      </c>
      <c r="D171" s="196">
        <v>200000</v>
      </c>
      <c r="E171" s="201">
        <v>200000</v>
      </c>
      <c r="F171" s="201">
        <v>148119</v>
      </c>
      <c r="G171" s="202">
        <f t="shared" si="8"/>
        <v>0.740595</v>
      </c>
      <c r="H171" s="130"/>
    </row>
    <row r="172" spans="1:8" ht="19.5" customHeight="1">
      <c r="A172" s="38"/>
      <c r="B172" s="39"/>
      <c r="C172" s="166" t="s">
        <v>329</v>
      </c>
      <c r="D172" s="167">
        <v>5000</v>
      </c>
      <c r="E172" s="309">
        <v>5000</v>
      </c>
      <c r="F172" s="309">
        <v>4270</v>
      </c>
      <c r="G172" s="310">
        <f t="shared" si="8"/>
        <v>0.854</v>
      </c>
      <c r="H172" s="130"/>
    </row>
    <row r="173" spans="1:9" s="149" customFormat="1" ht="21.75" customHeight="1" thickBot="1">
      <c r="A173" s="186"/>
      <c r="B173" s="66"/>
      <c r="C173" s="52" t="s">
        <v>423</v>
      </c>
      <c r="D173" s="53">
        <f>D177</f>
        <v>110843066</v>
      </c>
      <c r="E173" s="54">
        <f>E174+E177</f>
        <v>113223576</v>
      </c>
      <c r="F173" s="54">
        <f>F177+F174</f>
        <v>113223576</v>
      </c>
      <c r="G173" s="311">
        <f t="shared" si="8"/>
        <v>1</v>
      </c>
      <c r="H173" s="312"/>
      <c r="I173" s="148"/>
    </row>
    <row r="174" spans="1:8" ht="27.75" customHeight="1" thickTop="1">
      <c r="A174" s="177">
        <v>756</v>
      </c>
      <c r="B174" s="58"/>
      <c r="C174" s="59" t="s">
        <v>424</v>
      </c>
      <c r="D174" s="60"/>
      <c r="E174" s="61">
        <f>E175</f>
        <v>505619</v>
      </c>
      <c r="F174" s="61">
        <f>SUM(F175)</f>
        <v>505619</v>
      </c>
      <c r="G174" s="62">
        <f t="shared" si="8"/>
        <v>1</v>
      </c>
      <c r="H174" s="63"/>
    </row>
    <row r="175" spans="1:8" ht="40.5" customHeight="1">
      <c r="A175" s="64"/>
      <c r="B175" s="178">
        <v>75615</v>
      </c>
      <c r="C175" s="90" t="s">
        <v>354</v>
      </c>
      <c r="D175" s="179"/>
      <c r="E175" s="180">
        <f>E176</f>
        <v>505619</v>
      </c>
      <c r="F175" s="180">
        <f>SUM(F176)</f>
        <v>505619</v>
      </c>
      <c r="G175" s="181">
        <f t="shared" si="8"/>
        <v>1</v>
      </c>
      <c r="H175" s="91"/>
    </row>
    <row r="176" spans="1:8" ht="19.5" customHeight="1">
      <c r="A176" s="38"/>
      <c r="B176" s="39"/>
      <c r="C176" s="234" t="s">
        <v>425</v>
      </c>
      <c r="D176" s="40"/>
      <c r="E176" s="40">
        <v>505619</v>
      </c>
      <c r="F176" s="40">
        <v>505619</v>
      </c>
      <c r="G176" s="41">
        <f t="shared" si="8"/>
        <v>1</v>
      </c>
      <c r="H176" s="136"/>
    </row>
    <row r="177" spans="1:8" ht="19.5" customHeight="1">
      <c r="A177" s="137">
        <v>758</v>
      </c>
      <c r="B177" s="153"/>
      <c r="C177" s="176" t="s">
        <v>380</v>
      </c>
      <c r="D177" s="140">
        <f>D178+D180+D183</f>
        <v>110843066</v>
      </c>
      <c r="E177" s="141">
        <f>E178+E180+E183</f>
        <v>112717957</v>
      </c>
      <c r="F177" s="141">
        <f>F178+F180+F183</f>
        <v>112717957</v>
      </c>
      <c r="G177" s="142">
        <f t="shared" si="8"/>
        <v>1</v>
      </c>
      <c r="H177" s="63"/>
    </row>
    <row r="178" spans="1:8" ht="21" customHeight="1">
      <c r="A178" s="64"/>
      <c r="B178" s="178">
        <v>75801</v>
      </c>
      <c r="C178" s="90" t="s">
        <v>426</v>
      </c>
      <c r="D178" s="179">
        <f>D179</f>
        <v>96336410</v>
      </c>
      <c r="E178" s="180">
        <f>E179</f>
        <v>97532598</v>
      </c>
      <c r="F178" s="180">
        <f>F179</f>
        <v>97532598</v>
      </c>
      <c r="G178" s="181">
        <f t="shared" si="8"/>
        <v>1</v>
      </c>
      <c r="H178" s="91"/>
    </row>
    <row r="179" spans="1:8" ht="19.5" customHeight="1">
      <c r="A179" s="38"/>
      <c r="B179" s="274"/>
      <c r="C179" s="71" t="s">
        <v>427</v>
      </c>
      <c r="D179" s="276">
        <v>96336410</v>
      </c>
      <c r="E179" s="276">
        <v>97532598</v>
      </c>
      <c r="F179" s="276">
        <v>97532598</v>
      </c>
      <c r="G179" s="277">
        <f t="shared" si="8"/>
        <v>1</v>
      </c>
      <c r="H179" s="130"/>
    </row>
    <row r="180" spans="1:8" ht="19.5" customHeight="1">
      <c r="A180" s="89"/>
      <c r="B180" s="66">
        <v>75802</v>
      </c>
      <c r="C180" s="79" t="s">
        <v>428</v>
      </c>
      <c r="D180" s="81">
        <f>SUM(D181)</f>
        <v>267188</v>
      </c>
      <c r="E180" s="82">
        <f>SUM(E181)</f>
        <v>267188</v>
      </c>
      <c r="F180" s="82">
        <f>F181</f>
        <v>267188</v>
      </c>
      <c r="G180" s="146">
        <f t="shared" si="8"/>
        <v>1</v>
      </c>
      <c r="H180" s="91"/>
    </row>
    <row r="181" spans="1:8" ht="19.5" customHeight="1">
      <c r="A181" s="38"/>
      <c r="B181" s="271"/>
      <c r="C181" s="313" t="s">
        <v>429</v>
      </c>
      <c r="D181" s="314">
        <v>267188</v>
      </c>
      <c r="E181" s="314">
        <v>267188</v>
      </c>
      <c r="F181" s="314">
        <v>267188</v>
      </c>
      <c r="G181" s="315">
        <f t="shared" si="8"/>
        <v>1</v>
      </c>
      <c r="H181" s="308"/>
    </row>
    <row r="182" spans="1:8" ht="25.5" customHeight="1">
      <c r="A182" s="283"/>
      <c r="B182" s="316"/>
      <c r="C182" s="285"/>
      <c r="D182" s="317"/>
      <c r="E182" s="317"/>
      <c r="F182" s="317"/>
      <c r="G182" s="318"/>
      <c r="H182" s="319"/>
    </row>
    <row r="183" spans="1:8" ht="19.5" customHeight="1">
      <c r="A183" s="89"/>
      <c r="B183" s="66">
        <v>75805</v>
      </c>
      <c r="C183" s="79" t="s">
        <v>430</v>
      </c>
      <c r="D183" s="81">
        <f>D184</f>
        <v>14239468</v>
      </c>
      <c r="E183" s="82">
        <f>E184+E185</f>
        <v>14918171</v>
      </c>
      <c r="F183" s="82">
        <f>SUM(F184:F185)</f>
        <v>14918171</v>
      </c>
      <c r="G183" s="83">
        <f aca="true" t="shared" si="9" ref="G183:G206">F183/E183</f>
        <v>1</v>
      </c>
      <c r="H183" s="84"/>
    </row>
    <row r="184" spans="1:8" ht="27.75" customHeight="1">
      <c r="A184" s="38"/>
      <c r="B184" s="271"/>
      <c r="C184" s="93" t="s">
        <v>431</v>
      </c>
      <c r="D184" s="94">
        <v>14239468</v>
      </c>
      <c r="E184" s="94">
        <v>14239468</v>
      </c>
      <c r="F184" s="94">
        <v>14239468</v>
      </c>
      <c r="G184" s="95">
        <f t="shared" si="9"/>
        <v>1</v>
      </c>
      <c r="H184" s="195"/>
    </row>
    <row r="185" spans="1:8" ht="19.5" customHeight="1">
      <c r="A185" s="38"/>
      <c r="B185" s="39"/>
      <c r="C185" s="166" t="s">
        <v>432</v>
      </c>
      <c r="D185" s="224"/>
      <c r="E185" s="224">
        <v>678703</v>
      </c>
      <c r="F185" s="224">
        <v>678703</v>
      </c>
      <c r="G185" s="225">
        <f t="shared" si="9"/>
        <v>1</v>
      </c>
      <c r="H185" s="136"/>
    </row>
    <row r="186" spans="1:8" ht="22.5" customHeight="1" thickBot="1">
      <c r="A186" s="50"/>
      <c r="B186" s="51"/>
      <c r="C186" s="320" t="s">
        <v>433</v>
      </c>
      <c r="D186" s="53">
        <f>D190+D196+D201+D204+D208</f>
        <v>870000</v>
      </c>
      <c r="E186" s="54">
        <f>E187+E190+E196+E201+E204+E208</f>
        <v>8470898</v>
      </c>
      <c r="F186" s="54">
        <f>F187+F190+F196+F201+F204+F208</f>
        <v>8471001</v>
      </c>
      <c r="G186" s="55">
        <f t="shared" si="9"/>
        <v>1.0000121592775641</v>
      </c>
      <c r="H186" s="321"/>
    </row>
    <row r="187" spans="1:16" s="328" customFormat="1" ht="19.5" customHeight="1" thickTop="1">
      <c r="A187" s="322">
        <v>600</v>
      </c>
      <c r="B187" s="323"/>
      <c r="C187" s="324" t="s">
        <v>434</v>
      </c>
      <c r="D187" s="325"/>
      <c r="E187" s="326">
        <f>E188</f>
        <v>117181</v>
      </c>
      <c r="F187" s="326">
        <f>F188</f>
        <v>117181</v>
      </c>
      <c r="G187" s="327">
        <f t="shared" si="9"/>
        <v>1</v>
      </c>
      <c r="H187" s="172"/>
      <c r="I187" s="148"/>
      <c r="J187" s="149"/>
      <c r="K187" s="149"/>
      <c r="L187" s="149"/>
      <c r="M187" s="149"/>
      <c r="N187" s="149"/>
      <c r="O187" s="149"/>
      <c r="P187" s="149"/>
    </row>
    <row r="188" spans="1:9" s="149" customFormat="1" ht="20.25" customHeight="1">
      <c r="A188" s="64"/>
      <c r="B188" s="178">
        <v>60016</v>
      </c>
      <c r="C188" s="90" t="s">
        <v>435</v>
      </c>
      <c r="D188" s="232"/>
      <c r="E188" s="232">
        <f>E189</f>
        <v>117181</v>
      </c>
      <c r="F188" s="232">
        <f>F189</f>
        <v>117181</v>
      </c>
      <c r="G188" s="233">
        <f t="shared" si="9"/>
        <v>1</v>
      </c>
      <c r="H188" s="172"/>
      <c r="I188" s="148"/>
    </row>
    <row r="189" spans="1:8" ht="25.5" customHeight="1">
      <c r="A189" s="50"/>
      <c r="B189" s="51"/>
      <c r="C189" s="173" t="s">
        <v>436</v>
      </c>
      <c r="D189" s="272"/>
      <c r="E189" s="272">
        <v>117181</v>
      </c>
      <c r="F189" s="272">
        <v>117181</v>
      </c>
      <c r="G189" s="273">
        <f t="shared" si="9"/>
        <v>1</v>
      </c>
      <c r="H189" s="165"/>
    </row>
    <row r="190" spans="1:8" ht="19.5" customHeight="1">
      <c r="A190" s="177">
        <v>801</v>
      </c>
      <c r="B190" s="58"/>
      <c r="C190" s="76" t="s">
        <v>386</v>
      </c>
      <c r="D190" s="60">
        <f>D193</f>
        <v>483000</v>
      </c>
      <c r="E190" s="61">
        <f>E191+E193</f>
        <v>723133</v>
      </c>
      <c r="F190" s="61">
        <f>F191+F193</f>
        <v>723133</v>
      </c>
      <c r="G190" s="77">
        <f t="shared" si="9"/>
        <v>1</v>
      </c>
      <c r="H190" s="329"/>
    </row>
    <row r="191" spans="1:16" s="335" customFormat="1" ht="19.5" customHeight="1">
      <c r="A191" s="330"/>
      <c r="B191" s="249">
        <v>80101</v>
      </c>
      <c r="C191" s="250" t="s">
        <v>387</v>
      </c>
      <c r="D191" s="251"/>
      <c r="E191" s="257">
        <f>E192</f>
        <v>32579</v>
      </c>
      <c r="F191" s="257">
        <f>F192</f>
        <v>32579</v>
      </c>
      <c r="G191" s="331">
        <f t="shared" si="9"/>
        <v>1</v>
      </c>
      <c r="H191" s="332"/>
      <c r="I191" s="333"/>
      <c r="J191" s="334"/>
      <c r="K191" s="334"/>
      <c r="L191" s="334"/>
      <c r="M191" s="334"/>
      <c r="N191" s="334"/>
      <c r="O191" s="334"/>
      <c r="P191" s="334"/>
    </row>
    <row r="192" spans="1:16" s="335" customFormat="1" ht="27" customHeight="1">
      <c r="A192" s="336"/>
      <c r="B192" s="268"/>
      <c r="C192" s="337" t="s">
        <v>437</v>
      </c>
      <c r="D192" s="254"/>
      <c r="E192" s="255">
        <v>32579</v>
      </c>
      <c r="F192" s="255">
        <v>32579</v>
      </c>
      <c r="G192" s="256">
        <f t="shared" si="9"/>
        <v>1</v>
      </c>
      <c r="H192" s="338"/>
      <c r="I192" s="333"/>
      <c r="J192" s="334"/>
      <c r="K192" s="334"/>
      <c r="L192" s="334"/>
      <c r="M192" s="334"/>
      <c r="N192" s="334"/>
      <c r="O192" s="334"/>
      <c r="P192" s="334"/>
    </row>
    <row r="193" spans="1:8" ht="19.5" customHeight="1">
      <c r="A193" s="339"/>
      <c r="B193" s="340">
        <v>80195</v>
      </c>
      <c r="C193" s="340" t="s">
        <v>314</v>
      </c>
      <c r="D193" s="341">
        <f>D194</f>
        <v>483000</v>
      </c>
      <c r="E193" s="342">
        <f>E194+E195</f>
        <v>690554</v>
      </c>
      <c r="F193" s="342">
        <f>F194+F195</f>
        <v>690554</v>
      </c>
      <c r="G193" s="343">
        <f t="shared" si="9"/>
        <v>1</v>
      </c>
      <c r="H193" s="344"/>
    </row>
    <row r="194" spans="1:8" ht="29.25" customHeight="1">
      <c r="A194" s="345"/>
      <c r="B194" s="346"/>
      <c r="C194" s="347" t="s">
        <v>438</v>
      </c>
      <c r="D194" s="348">
        <v>483000</v>
      </c>
      <c r="E194" s="348">
        <v>659395</v>
      </c>
      <c r="F194" s="348">
        <v>659395</v>
      </c>
      <c r="G194" s="349">
        <f t="shared" si="9"/>
        <v>1</v>
      </c>
      <c r="H194" s="350"/>
    </row>
    <row r="195" spans="1:8" ht="29.25" customHeight="1">
      <c r="A195" s="351"/>
      <c r="B195" s="352"/>
      <c r="C195" s="353" t="s">
        <v>439</v>
      </c>
      <c r="D195" s="354"/>
      <c r="E195" s="354">
        <v>31159</v>
      </c>
      <c r="F195" s="354">
        <v>31159</v>
      </c>
      <c r="G195" s="355">
        <f t="shared" si="9"/>
        <v>1</v>
      </c>
      <c r="H195" s="356"/>
    </row>
    <row r="196" spans="1:8" ht="19.5" customHeight="1">
      <c r="A196" s="177">
        <v>853</v>
      </c>
      <c r="B196" s="58"/>
      <c r="C196" s="76" t="s">
        <v>440</v>
      </c>
      <c r="D196" s="60"/>
      <c r="E196" s="61">
        <f>E197+E199</f>
        <v>7189243</v>
      </c>
      <c r="F196" s="61">
        <f>F197+F199</f>
        <v>7189243</v>
      </c>
      <c r="G196" s="77">
        <f t="shared" si="9"/>
        <v>1</v>
      </c>
      <c r="H196" s="329"/>
    </row>
    <row r="197" spans="1:8" ht="19.5" customHeight="1">
      <c r="A197" s="357"/>
      <c r="B197" s="358">
        <v>85315</v>
      </c>
      <c r="C197" s="358" t="s">
        <v>402</v>
      </c>
      <c r="D197" s="359"/>
      <c r="E197" s="360">
        <f>E198</f>
        <v>6008543</v>
      </c>
      <c r="F197" s="360">
        <f>F198</f>
        <v>6008543</v>
      </c>
      <c r="G197" s="361">
        <f t="shared" si="9"/>
        <v>1</v>
      </c>
      <c r="H197" s="344"/>
    </row>
    <row r="198" spans="1:8" ht="19.5" customHeight="1">
      <c r="A198" s="339"/>
      <c r="B198" s="340"/>
      <c r="C198" s="353" t="s">
        <v>441</v>
      </c>
      <c r="D198" s="362"/>
      <c r="E198" s="362">
        <v>6008543</v>
      </c>
      <c r="F198" s="362">
        <v>6008543</v>
      </c>
      <c r="G198" s="363">
        <f t="shared" si="9"/>
        <v>1</v>
      </c>
      <c r="H198" s="344"/>
    </row>
    <row r="199" spans="1:8" ht="19.5" customHeight="1">
      <c r="A199" s="345"/>
      <c r="B199" s="340">
        <v>85395</v>
      </c>
      <c r="C199" s="340" t="s">
        <v>314</v>
      </c>
      <c r="D199" s="364"/>
      <c r="E199" s="365">
        <f>E200</f>
        <v>1180700</v>
      </c>
      <c r="F199" s="365">
        <f>F200</f>
        <v>1180700</v>
      </c>
      <c r="G199" s="366">
        <f t="shared" si="9"/>
        <v>1</v>
      </c>
      <c r="H199" s="356"/>
    </row>
    <row r="200" spans="1:8" ht="19.5" customHeight="1">
      <c r="A200" s="351"/>
      <c r="B200" s="352"/>
      <c r="C200" s="367" t="s">
        <v>442</v>
      </c>
      <c r="D200" s="362"/>
      <c r="E200" s="362">
        <v>1180700</v>
      </c>
      <c r="F200" s="362">
        <v>1180700</v>
      </c>
      <c r="G200" s="363">
        <f t="shared" si="9"/>
        <v>1</v>
      </c>
      <c r="H200" s="356"/>
    </row>
    <row r="201" spans="1:8" ht="19.5" customHeight="1">
      <c r="A201" s="177">
        <v>854</v>
      </c>
      <c r="B201" s="58"/>
      <c r="C201" s="76" t="s">
        <v>443</v>
      </c>
      <c r="D201" s="60">
        <f aca="true" t="shared" si="10" ref="D201:F202">D202</f>
        <v>105000</v>
      </c>
      <c r="E201" s="61">
        <f t="shared" si="10"/>
        <v>159341</v>
      </c>
      <c r="F201" s="61">
        <f t="shared" si="10"/>
        <v>159341</v>
      </c>
      <c r="G201" s="62">
        <f t="shared" si="9"/>
        <v>1</v>
      </c>
      <c r="H201" s="356"/>
    </row>
    <row r="202" spans="1:8" ht="19.5" customHeight="1">
      <c r="A202" s="339"/>
      <c r="B202" s="340">
        <v>85495</v>
      </c>
      <c r="C202" s="340" t="s">
        <v>314</v>
      </c>
      <c r="D202" s="364">
        <f t="shared" si="10"/>
        <v>105000</v>
      </c>
      <c r="E202" s="365">
        <f t="shared" si="10"/>
        <v>159341</v>
      </c>
      <c r="F202" s="364">
        <f t="shared" si="10"/>
        <v>159341</v>
      </c>
      <c r="G202" s="368">
        <f t="shared" si="9"/>
        <v>1</v>
      </c>
      <c r="H202" s="356"/>
    </row>
    <row r="203" spans="1:8" ht="25.5" customHeight="1">
      <c r="A203" s="351"/>
      <c r="B203" s="369"/>
      <c r="C203" s="367" t="s">
        <v>444</v>
      </c>
      <c r="D203" s="362">
        <v>105000</v>
      </c>
      <c r="E203" s="362">
        <v>159341</v>
      </c>
      <c r="F203" s="362">
        <v>159341</v>
      </c>
      <c r="G203" s="363">
        <f t="shared" si="9"/>
        <v>1</v>
      </c>
      <c r="H203" s="356"/>
    </row>
    <row r="204" spans="1:8" ht="19.5" customHeight="1">
      <c r="A204" s="177">
        <v>900</v>
      </c>
      <c r="B204" s="58"/>
      <c r="C204" s="59" t="s">
        <v>413</v>
      </c>
      <c r="D204" s="60">
        <f aca="true" t="shared" si="11" ref="D204:F205">D205</f>
        <v>182000</v>
      </c>
      <c r="E204" s="61">
        <f t="shared" si="11"/>
        <v>182000</v>
      </c>
      <c r="F204" s="61">
        <f t="shared" si="11"/>
        <v>182000</v>
      </c>
      <c r="G204" s="77">
        <f t="shared" si="9"/>
        <v>1</v>
      </c>
      <c r="H204" s="356"/>
    </row>
    <row r="205" spans="1:8" ht="19.5" customHeight="1">
      <c r="A205" s="339"/>
      <c r="B205" s="340">
        <v>90011</v>
      </c>
      <c r="C205" s="90" t="s">
        <v>416</v>
      </c>
      <c r="D205" s="341">
        <f t="shared" si="11"/>
        <v>182000</v>
      </c>
      <c r="E205" s="342">
        <f t="shared" si="11"/>
        <v>182000</v>
      </c>
      <c r="F205" s="342">
        <f t="shared" si="11"/>
        <v>182000</v>
      </c>
      <c r="G205" s="343">
        <f t="shared" si="9"/>
        <v>1</v>
      </c>
      <c r="H205" s="356"/>
    </row>
    <row r="206" spans="1:8" ht="30" customHeight="1">
      <c r="A206" s="351"/>
      <c r="B206" s="352"/>
      <c r="C206" s="173" t="s">
        <v>445</v>
      </c>
      <c r="D206" s="362">
        <v>182000</v>
      </c>
      <c r="E206" s="362">
        <v>182000</v>
      </c>
      <c r="F206" s="362">
        <v>182000</v>
      </c>
      <c r="G206" s="363">
        <f t="shared" si="9"/>
        <v>1</v>
      </c>
      <c r="H206" s="356"/>
    </row>
    <row r="207" spans="1:8" ht="30" customHeight="1">
      <c r="A207" s="370"/>
      <c r="B207" s="371"/>
      <c r="C207" s="285"/>
      <c r="D207" s="372"/>
      <c r="E207" s="372"/>
      <c r="F207" s="372"/>
      <c r="G207" s="373"/>
      <c r="H207" s="374"/>
    </row>
    <row r="208" spans="1:8" ht="19.5" customHeight="1">
      <c r="A208" s="177">
        <v>926</v>
      </c>
      <c r="B208" s="58"/>
      <c r="C208" s="59" t="s">
        <v>446</v>
      </c>
      <c r="D208" s="60">
        <f aca="true" t="shared" si="12" ref="D208:F209">D209</f>
        <v>100000</v>
      </c>
      <c r="E208" s="61">
        <f t="shared" si="12"/>
        <v>100000</v>
      </c>
      <c r="F208" s="61">
        <f t="shared" si="12"/>
        <v>100103</v>
      </c>
      <c r="G208" s="77">
        <f aca="true" t="shared" si="13" ref="G208:G229">F208/E208</f>
        <v>1.00103</v>
      </c>
      <c r="H208" s="63"/>
    </row>
    <row r="209" spans="1:8" ht="19.5" customHeight="1">
      <c r="A209" s="64"/>
      <c r="B209" s="178">
        <v>92601</v>
      </c>
      <c r="C209" s="90" t="s">
        <v>447</v>
      </c>
      <c r="D209" s="179">
        <f t="shared" si="12"/>
        <v>100000</v>
      </c>
      <c r="E209" s="180">
        <f t="shared" si="12"/>
        <v>100000</v>
      </c>
      <c r="F209" s="180">
        <f t="shared" si="12"/>
        <v>100103</v>
      </c>
      <c r="G209" s="83">
        <f t="shared" si="13"/>
        <v>1.00103</v>
      </c>
      <c r="H209" s="91"/>
    </row>
    <row r="210" spans="1:8" ht="28.5" customHeight="1">
      <c r="A210" s="38"/>
      <c r="B210" s="39"/>
      <c r="C210" s="275" t="s">
        <v>448</v>
      </c>
      <c r="D210" s="276">
        <v>100000</v>
      </c>
      <c r="E210" s="276">
        <v>100000</v>
      </c>
      <c r="F210" s="276">
        <v>100103</v>
      </c>
      <c r="G210" s="277">
        <f t="shared" si="13"/>
        <v>1.00103</v>
      </c>
      <c r="H210" s="136"/>
    </row>
    <row r="211" spans="1:8" ht="26.25" customHeight="1" thickBot="1">
      <c r="A211" s="375"/>
      <c r="B211" s="340"/>
      <c r="C211" s="376" t="s">
        <v>452</v>
      </c>
      <c r="D211" s="377">
        <f>D215</f>
        <v>11952</v>
      </c>
      <c r="E211" s="378">
        <f>E212+E215+E218</f>
        <v>813452</v>
      </c>
      <c r="F211" s="378">
        <f>F212+F215+F218</f>
        <v>814316</v>
      </c>
      <c r="G211" s="379">
        <f t="shared" si="13"/>
        <v>1.0010621401139834</v>
      </c>
      <c r="H211" s="380"/>
    </row>
    <row r="212" spans="1:8" ht="19.5" customHeight="1" thickTop="1">
      <c r="A212" s="177">
        <v>710</v>
      </c>
      <c r="B212" s="58"/>
      <c r="C212" s="76" t="s">
        <v>332</v>
      </c>
      <c r="D212" s="60"/>
      <c r="E212" s="61">
        <f>E213</f>
        <v>38500</v>
      </c>
      <c r="F212" s="61">
        <f>F213</f>
        <v>38500</v>
      </c>
      <c r="G212" s="77">
        <f t="shared" si="13"/>
        <v>1</v>
      </c>
      <c r="H212" s="381"/>
    </row>
    <row r="213" spans="1:8" ht="23.25" customHeight="1">
      <c r="A213" s="357"/>
      <c r="B213" s="340">
        <v>71035</v>
      </c>
      <c r="C213" s="382" t="s">
        <v>333</v>
      </c>
      <c r="D213" s="383"/>
      <c r="E213" s="384">
        <f>E214</f>
        <v>38500</v>
      </c>
      <c r="F213" s="384">
        <f>F214</f>
        <v>38500</v>
      </c>
      <c r="G213" s="385">
        <f t="shared" si="13"/>
        <v>1</v>
      </c>
      <c r="H213" s="381"/>
    </row>
    <row r="214" spans="1:9" s="7" customFormat="1" ht="26.25" customHeight="1">
      <c r="A214" s="351"/>
      <c r="B214" s="352"/>
      <c r="C214" s="386" t="s">
        <v>453</v>
      </c>
      <c r="D214" s="387"/>
      <c r="E214" s="388">
        <v>38500</v>
      </c>
      <c r="F214" s="388">
        <v>38500</v>
      </c>
      <c r="G214" s="389">
        <f t="shared" si="13"/>
        <v>1</v>
      </c>
      <c r="H214" s="390"/>
      <c r="I214" s="6"/>
    </row>
    <row r="215" spans="1:8" ht="19.5" customHeight="1">
      <c r="A215" s="177">
        <v>801</v>
      </c>
      <c r="B215" s="58"/>
      <c r="C215" s="76" t="s">
        <v>386</v>
      </c>
      <c r="D215" s="60">
        <f>D216</f>
        <v>11952</v>
      </c>
      <c r="E215" s="61">
        <f>E216</f>
        <v>11952</v>
      </c>
      <c r="F215" s="61">
        <f>F216</f>
        <v>12816</v>
      </c>
      <c r="G215" s="77">
        <f t="shared" si="13"/>
        <v>1.072289156626506</v>
      </c>
      <c r="H215" s="391"/>
    </row>
    <row r="216" spans="1:8" ht="19.5" customHeight="1">
      <c r="A216" s="339"/>
      <c r="B216" s="340">
        <v>80195</v>
      </c>
      <c r="C216" s="340" t="s">
        <v>314</v>
      </c>
      <c r="D216" s="341">
        <v>11952</v>
      </c>
      <c r="E216" s="342">
        <v>11952</v>
      </c>
      <c r="F216" s="342">
        <f>F217</f>
        <v>12816</v>
      </c>
      <c r="G216" s="343">
        <f t="shared" si="13"/>
        <v>1.072289156626506</v>
      </c>
      <c r="H216" s="391"/>
    </row>
    <row r="217" spans="1:8" ht="21.75" customHeight="1">
      <c r="A217" s="351"/>
      <c r="B217" s="369"/>
      <c r="C217" s="367" t="s">
        <v>454</v>
      </c>
      <c r="D217" s="392">
        <v>11952</v>
      </c>
      <c r="E217" s="393">
        <v>11952</v>
      </c>
      <c r="F217" s="393">
        <v>12816</v>
      </c>
      <c r="G217" s="394">
        <f t="shared" si="13"/>
        <v>1.072289156626506</v>
      </c>
      <c r="H217" s="391"/>
    </row>
    <row r="218" spans="1:9" s="149" customFormat="1" ht="19.5" customHeight="1">
      <c r="A218" s="137">
        <v>900</v>
      </c>
      <c r="B218" s="153"/>
      <c r="C218" s="176" t="s">
        <v>413</v>
      </c>
      <c r="D218" s="395"/>
      <c r="E218" s="396">
        <f>E219</f>
        <v>763000</v>
      </c>
      <c r="F218" s="396">
        <f>F219</f>
        <v>763000</v>
      </c>
      <c r="G218" s="397">
        <f t="shared" si="13"/>
        <v>1</v>
      </c>
      <c r="H218" s="398"/>
      <c r="I218" s="148"/>
    </row>
    <row r="219" spans="1:9" s="149" customFormat="1" ht="19.5" customHeight="1">
      <c r="A219" s="339"/>
      <c r="B219" s="358">
        <v>90003</v>
      </c>
      <c r="C219" s="399" t="s">
        <v>455</v>
      </c>
      <c r="D219" s="400"/>
      <c r="E219" s="401">
        <f>E220</f>
        <v>763000</v>
      </c>
      <c r="F219" s="401">
        <f>F220</f>
        <v>763000</v>
      </c>
      <c r="G219" s="402">
        <f t="shared" si="13"/>
        <v>1</v>
      </c>
      <c r="H219" s="398"/>
      <c r="I219" s="148"/>
    </row>
    <row r="220" spans="1:8" ht="27" customHeight="1">
      <c r="A220" s="345"/>
      <c r="B220" s="403"/>
      <c r="C220" s="353" t="s">
        <v>456</v>
      </c>
      <c r="D220" s="354"/>
      <c r="E220" s="404">
        <v>763000</v>
      </c>
      <c r="F220" s="404">
        <v>763000</v>
      </c>
      <c r="G220" s="405">
        <f t="shared" si="13"/>
        <v>1</v>
      </c>
      <c r="H220" s="356"/>
    </row>
    <row r="221" spans="1:8" ht="33.75" customHeight="1" thickBot="1">
      <c r="A221" s="50"/>
      <c r="B221" s="51"/>
      <c r="C221" s="406" t="s">
        <v>457</v>
      </c>
      <c r="D221" s="407">
        <f>D225+D232+D237+D240+D243+D264</f>
        <v>33306195</v>
      </c>
      <c r="E221" s="408">
        <f>E222+E225+E232+E237+E240+E243+E264</f>
        <v>32456594</v>
      </c>
      <c r="F221" s="408">
        <f>F222+F225+F232+F237+F240+F243+F264</f>
        <v>32456594</v>
      </c>
      <c r="G221" s="409">
        <f t="shared" si="13"/>
        <v>1</v>
      </c>
      <c r="H221" s="410"/>
    </row>
    <row r="222" spans="1:16" s="328" customFormat="1" ht="24.75" customHeight="1" thickTop="1">
      <c r="A222" s="177">
        <v>700</v>
      </c>
      <c r="B222" s="58"/>
      <c r="C222" s="411" t="s">
        <v>316</v>
      </c>
      <c r="D222" s="412"/>
      <c r="E222" s="413">
        <f>E223</f>
        <v>331762</v>
      </c>
      <c r="F222" s="413">
        <f>F223</f>
        <v>331762</v>
      </c>
      <c r="G222" s="414">
        <f t="shared" si="13"/>
        <v>1</v>
      </c>
      <c r="H222" s="147"/>
      <c r="I222" s="148"/>
      <c r="J222" s="149"/>
      <c r="K222" s="149"/>
      <c r="L222" s="149"/>
      <c r="M222" s="149"/>
      <c r="N222" s="149"/>
      <c r="O222" s="149"/>
      <c r="P222" s="149"/>
    </row>
    <row r="223" spans="1:16" s="328" customFormat="1" ht="23.25" customHeight="1">
      <c r="A223" s="64"/>
      <c r="B223" s="178">
        <v>70005</v>
      </c>
      <c r="C223" s="90" t="s">
        <v>319</v>
      </c>
      <c r="D223" s="231"/>
      <c r="E223" s="232">
        <f>E224</f>
        <v>331762</v>
      </c>
      <c r="F223" s="232">
        <f>F224</f>
        <v>331762</v>
      </c>
      <c r="G223" s="415">
        <f t="shared" si="13"/>
        <v>1</v>
      </c>
      <c r="H223" s="147"/>
      <c r="I223" s="148"/>
      <c r="J223" s="149"/>
      <c r="K223" s="149"/>
      <c r="L223" s="149"/>
      <c r="M223" s="149"/>
      <c r="N223" s="149"/>
      <c r="O223" s="149"/>
      <c r="P223" s="149"/>
    </row>
    <row r="224" spans="1:8" ht="27.75" customHeight="1">
      <c r="A224" s="50"/>
      <c r="B224" s="274"/>
      <c r="C224" s="71" t="s">
        <v>458</v>
      </c>
      <c r="D224" s="276"/>
      <c r="E224" s="306">
        <v>331762</v>
      </c>
      <c r="F224" s="306">
        <v>331762</v>
      </c>
      <c r="G224" s="277">
        <f t="shared" si="13"/>
        <v>1</v>
      </c>
      <c r="H224" s="136"/>
    </row>
    <row r="225" spans="1:8" ht="19.5" customHeight="1">
      <c r="A225" s="177">
        <v>750</v>
      </c>
      <c r="B225" s="58"/>
      <c r="C225" s="59" t="s">
        <v>336</v>
      </c>
      <c r="D225" s="227">
        <f>D226</f>
        <v>1463165</v>
      </c>
      <c r="E225" s="228">
        <f>E226</f>
        <v>1512165</v>
      </c>
      <c r="F225" s="228">
        <f>F226</f>
        <v>1512165</v>
      </c>
      <c r="G225" s="229">
        <f t="shared" si="13"/>
        <v>1</v>
      </c>
      <c r="H225" s="416"/>
    </row>
    <row r="226" spans="1:8" ht="19.5" customHeight="1">
      <c r="A226" s="38"/>
      <c r="B226" s="178">
        <v>75011</v>
      </c>
      <c r="C226" s="90" t="s">
        <v>459</v>
      </c>
      <c r="D226" s="179">
        <f>SUM(D227)</f>
        <v>1463165</v>
      </c>
      <c r="E226" s="180">
        <f>SUM(E227:E229)</f>
        <v>1512165</v>
      </c>
      <c r="F226" s="180">
        <f>SUM(F227:F229)</f>
        <v>1512165</v>
      </c>
      <c r="G226" s="235">
        <f t="shared" si="13"/>
        <v>1</v>
      </c>
      <c r="H226" s="308"/>
    </row>
    <row r="227" spans="1:8" ht="27" customHeight="1">
      <c r="A227" s="38"/>
      <c r="B227" s="271"/>
      <c r="C227" s="313" t="s">
        <v>460</v>
      </c>
      <c r="D227" s="417">
        <v>1463165</v>
      </c>
      <c r="E227" s="417">
        <v>1463165</v>
      </c>
      <c r="F227" s="417">
        <v>1463165</v>
      </c>
      <c r="G227" s="418">
        <f t="shared" si="13"/>
        <v>1</v>
      </c>
      <c r="H227" s="308"/>
    </row>
    <row r="228" spans="1:8" ht="19.5" customHeight="1">
      <c r="A228" s="38"/>
      <c r="B228" s="39"/>
      <c r="C228" s="156" t="s">
        <v>461</v>
      </c>
      <c r="D228" s="99"/>
      <c r="E228" s="99">
        <v>24000</v>
      </c>
      <c r="F228" s="99">
        <v>24000</v>
      </c>
      <c r="G228" s="100">
        <f t="shared" si="13"/>
        <v>1</v>
      </c>
      <c r="H228" s="130"/>
    </row>
    <row r="229" spans="1:8" ht="23.25" customHeight="1">
      <c r="A229" s="38"/>
      <c r="B229" s="39"/>
      <c r="C229" s="234" t="s">
        <v>462</v>
      </c>
      <c r="D229" s="134"/>
      <c r="E229" s="134">
        <v>25000</v>
      </c>
      <c r="F229" s="134">
        <v>25000</v>
      </c>
      <c r="G229" s="135">
        <f t="shared" si="13"/>
        <v>1</v>
      </c>
      <c r="H229" s="130"/>
    </row>
    <row r="230" spans="1:8" ht="23.25" customHeight="1">
      <c r="A230" s="283"/>
      <c r="B230" s="316"/>
      <c r="C230" s="285"/>
      <c r="D230" s="286"/>
      <c r="E230" s="286"/>
      <c r="F230" s="286"/>
      <c r="G230" s="287"/>
      <c r="H230" s="319"/>
    </row>
    <row r="231" spans="1:8" ht="23.25" customHeight="1">
      <c r="A231" s="1"/>
      <c r="B231" s="2"/>
      <c r="C231" s="302"/>
      <c r="D231" s="112"/>
      <c r="E231" s="112"/>
      <c r="F231" s="112"/>
      <c r="G231" s="113"/>
      <c r="H231" s="319"/>
    </row>
    <row r="232" spans="1:8" ht="29.25" customHeight="1">
      <c r="A232" s="177">
        <v>751</v>
      </c>
      <c r="B232" s="58"/>
      <c r="C232" s="59" t="s">
        <v>463</v>
      </c>
      <c r="D232" s="227">
        <f>D233</f>
        <v>27830</v>
      </c>
      <c r="E232" s="228">
        <f>E233+E235</f>
        <v>662980</v>
      </c>
      <c r="F232" s="228">
        <f>F233+F235</f>
        <v>662980</v>
      </c>
      <c r="G232" s="303">
        <f aca="true" t="shared" si="14" ref="G232:G263">F232/E232</f>
        <v>1</v>
      </c>
      <c r="H232" s="419"/>
    </row>
    <row r="233" spans="1:8" ht="19.5" customHeight="1">
      <c r="A233" s="248"/>
      <c r="B233" s="178">
        <v>75101</v>
      </c>
      <c r="C233" s="90" t="s">
        <v>464</v>
      </c>
      <c r="D233" s="231">
        <f>D234</f>
        <v>27830</v>
      </c>
      <c r="E233" s="232">
        <f>E234</f>
        <v>27830</v>
      </c>
      <c r="F233" s="232">
        <f>F234</f>
        <v>27830</v>
      </c>
      <c r="G233" s="233">
        <f t="shared" si="14"/>
        <v>1</v>
      </c>
      <c r="H233" s="308"/>
    </row>
    <row r="234" spans="1:8" ht="30.75" customHeight="1">
      <c r="A234" s="38"/>
      <c r="B234" s="51"/>
      <c r="C234" s="173" t="s">
        <v>465</v>
      </c>
      <c r="D234" s="184">
        <v>27830</v>
      </c>
      <c r="E234" s="184">
        <v>27830</v>
      </c>
      <c r="F234" s="184">
        <v>27830</v>
      </c>
      <c r="G234" s="185">
        <f t="shared" si="14"/>
        <v>1</v>
      </c>
      <c r="H234" s="308"/>
    </row>
    <row r="235" spans="1:9" s="149" customFormat="1" ht="20.25" customHeight="1">
      <c r="A235" s="89"/>
      <c r="B235" s="66">
        <v>75110</v>
      </c>
      <c r="C235" s="79" t="s">
        <v>466</v>
      </c>
      <c r="D235" s="67"/>
      <c r="E235" s="67">
        <f>E236</f>
        <v>635150</v>
      </c>
      <c r="F235" s="67">
        <f>F236</f>
        <v>635150</v>
      </c>
      <c r="G235" s="68">
        <f t="shared" si="14"/>
        <v>1</v>
      </c>
      <c r="H235" s="69"/>
      <c r="I235" s="148"/>
    </row>
    <row r="236" spans="1:8" ht="25.5" customHeight="1">
      <c r="A236" s="50"/>
      <c r="B236" s="51"/>
      <c r="C236" s="173" t="s">
        <v>467</v>
      </c>
      <c r="D236" s="184"/>
      <c r="E236" s="184">
        <v>635150</v>
      </c>
      <c r="F236" s="184">
        <v>635150</v>
      </c>
      <c r="G236" s="185">
        <f t="shared" si="14"/>
        <v>1</v>
      </c>
      <c r="H236" s="136"/>
    </row>
    <row r="237" spans="1:8" ht="19.5" customHeight="1">
      <c r="A237" s="420">
        <v>754</v>
      </c>
      <c r="B237" s="420"/>
      <c r="C237" s="59" t="s">
        <v>468</v>
      </c>
      <c r="D237" s="60">
        <f>D238</f>
        <v>2200</v>
      </c>
      <c r="E237" s="61">
        <f>E238</f>
        <v>2200</v>
      </c>
      <c r="F237" s="61">
        <f>F238</f>
        <v>2200</v>
      </c>
      <c r="G237" s="77">
        <f t="shared" si="14"/>
        <v>1</v>
      </c>
      <c r="H237" s="130"/>
    </row>
    <row r="238" spans="1:8" ht="19.5" customHeight="1">
      <c r="A238" s="248"/>
      <c r="B238" s="66">
        <v>75414</v>
      </c>
      <c r="C238" s="79" t="s">
        <v>469</v>
      </c>
      <c r="D238" s="67">
        <v>2200</v>
      </c>
      <c r="E238" s="67">
        <v>2200</v>
      </c>
      <c r="F238" s="67">
        <v>2200</v>
      </c>
      <c r="G238" s="68">
        <f t="shared" si="14"/>
        <v>1</v>
      </c>
      <c r="H238" s="130"/>
    </row>
    <row r="239" spans="1:8" ht="19.5" customHeight="1">
      <c r="A239" s="50"/>
      <c r="B239" s="51"/>
      <c r="C239" s="173" t="s">
        <v>470</v>
      </c>
      <c r="D239" s="184">
        <v>2200</v>
      </c>
      <c r="E239" s="184">
        <v>2200</v>
      </c>
      <c r="F239" s="184">
        <v>2200</v>
      </c>
      <c r="G239" s="185">
        <f t="shared" si="14"/>
        <v>1</v>
      </c>
      <c r="H239" s="130"/>
    </row>
    <row r="240" spans="1:8" ht="19.5" customHeight="1">
      <c r="A240" s="177">
        <v>801</v>
      </c>
      <c r="B240" s="420"/>
      <c r="C240" s="59" t="s">
        <v>386</v>
      </c>
      <c r="D240" s="421"/>
      <c r="E240" s="420">
        <f>E241</f>
        <v>52359</v>
      </c>
      <c r="F240" s="420">
        <f>F241</f>
        <v>52359</v>
      </c>
      <c r="G240" s="422">
        <f t="shared" si="14"/>
        <v>1</v>
      </c>
      <c r="H240" s="130"/>
    </row>
    <row r="241" spans="1:16" s="328" customFormat="1" ht="19.5" customHeight="1">
      <c r="A241" s="64"/>
      <c r="B241" s="178">
        <v>80101</v>
      </c>
      <c r="C241" s="90" t="s">
        <v>387</v>
      </c>
      <c r="D241" s="67"/>
      <c r="E241" s="67">
        <f>E242</f>
        <v>52359</v>
      </c>
      <c r="F241" s="67">
        <f>F242</f>
        <v>52359</v>
      </c>
      <c r="G241" s="68">
        <f t="shared" si="14"/>
        <v>1</v>
      </c>
      <c r="H241" s="69"/>
      <c r="I241" s="148"/>
      <c r="J241" s="149"/>
      <c r="K241" s="149"/>
      <c r="L241" s="149"/>
      <c r="M241" s="149"/>
      <c r="N241" s="149"/>
      <c r="O241" s="149"/>
      <c r="P241" s="149"/>
    </row>
    <row r="242" spans="1:8" ht="19.5" customHeight="1">
      <c r="A242" s="50"/>
      <c r="B242" s="51"/>
      <c r="C242" s="71" t="s">
        <v>471</v>
      </c>
      <c r="D242" s="184"/>
      <c r="E242" s="184">
        <v>52359</v>
      </c>
      <c r="F242" s="184">
        <v>52359</v>
      </c>
      <c r="G242" s="185">
        <f t="shared" si="14"/>
        <v>1</v>
      </c>
      <c r="H242" s="130"/>
    </row>
    <row r="243" spans="1:256" s="7" customFormat="1" ht="19.5" customHeight="1">
      <c r="A243" s="177">
        <v>853</v>
      </c>
      <c r="B243" s="58"/>
      <c r="C243" s="59" t="s">
        <v>395</v>
      </c>
      <c r="D243" s="227">
        <f>D244+D250+D252+D254+D256+D258</f>
        <v>28719000</v>
      </c>
      <c r="E243" s="228">
        <f>E244+E250+E252+E254+E256+E258+E260+E262</f>
        <v>26736268</v>
      </c>
      <c r="F243" s="228">
        <f>F244+F250+F252+F254+F256+F258+F260+F262</f>
        <v>26736268</v>
      </c>
      <c r="G243" s="303">
        <f t="shared" si="14"/>
        <v>1</v>
      </c>
      <c r="H243" s="416"/>
      <c r="I243" s="6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</row>
    <row r="244" spans="1:256" s="7" customFormat="1" ht="19.5" customHeight="1">
      <c r="A244" s="89"/>
      <c r="B244" s="178">
        <v>85303</v>
      </c>
      <c r="C244" s="79" t="s">
        <v>472</v>
      </c>
      <c r="D244" s="67">
        <f>SUM(D245:D249)</f>
        <v>665000</v>
      </c>
      <c r="E244" s="190">
        <f>SUM(E245:E249)</f>
        <v>885000</v>
      </c>
      <c r="F244" s="190">
        <f>SUM(F245:F249)</f>
        <v>885000</v>
      </c>
      <c r="G244" s="270">
        <f t="shared" si="14"/>
        <v>1</v>
      </c>
      <c r="H244" s="182"/>
      <c r="I244" s="6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</row>
    <row r="245" spans="1:9" s="7" customFormat="1" ht="26.25" customHeight="1">
      <c r="A245" s="38"/>
      <c r="B245" s="271"/>
      <c r="C245" s="93" t="s">
        <v>473</v>
      </c>
      <c r="D245" s="151">
        <v>389000</v>
      </c>
      <c r="E245" s="239">
        <v>488000</v>
      </c>
      <c r="F245" s="239">
        <v>488000</v>
      </c>
      <c r="G245" s="240">
        <f t="shared" si="14"/>
        <v>1</v>
      </c>
      <c r="H245" s="183"/>
      <c r="I245" s="6"/>
    </row>
    <row r="246" spans="1:256" s="7" customFormat="1" ht="28.5" customHeight="1">
      <c r="A246" s="38"/>
      <c r="B246" s="39"/>
      <c r="C246" s="122" t="s">
        <v>474</v>
      </c>
      <c r="D246" s="119">
        <v>270000</v>
      </c>
      <c r="E246" s="246">
        <v>349000</v>
      </c>
      <c r="F246" s="246">
        <v>349000</v>
      </c>
      <c r="G246" s="247">
        <f t="shared" si="14"/>
        <v>1</v>
      </c>
      <c r="H246" s="130"/>
      <c r="I246" s="6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</row>
    <row r="247" spans="1:256" s="7" customFormat="1" ht="29.25" customHeight="1">
      <c r="A247" s="38"/>
      <c r="B247" s="39"/>
      <c r="C247" s="156" t="s">
        <v>475</v>
      </c>
      <c r="D247" s="99"/>
      <c r="E247" s="241">
        <v>22000</v>
      </c>
      <c r="F247" s="241">
        <v>22000</v>
      </c>
      <c r="G247" s="242">
        <f t="shared" si="14"/>
        <v>1</v>
      </c>
      <c r="H247" s="308"/>
      <c r="I247" s="6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</row>
    <row r="248" spans="1:256" s="7" customFormat="1" ht="29.25" customHeight="1">
      <c r="A248" s="38"/>
      <c r="B248" s="39"/>
      <c r="C248" s="156" t="s">
        <v>476</v>
      </c>
      <c r="D248" s="99">
        <v>6000</v>
      </c>
      <c r="E248" s="241">
        <v>6000</v>
      </c>
      <c r="F248" s="241">
        <v>6000</v>
      </c>
      <c r="G248" s="242">
        <f t="shared" si="14"/>
        <v>1</v>
      </c>
      <c r="H248" s="308"/>
      <c r="I248" s="6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</row>
    <row r="249" spans="1:256" s="7" customFormat="1" ht="29.25" customHeight="1">
      <c r="A249" s="38"/>
      <c r="B249" s="39"/>
      <c r="C249" s="234" t="s">
        <v>477</v>
      </c>
      <c r="D249" s="134"/>
      <c r="E249" s="281">
        <v>20000</v>
      </c>
      <c r="F249" s="281">
        <v>20000</v>
      </c>
      <c r="G249" s="299">
        <f t="shared" si="14"/>
        <v>1</v>
      </c>
      <c r="H249" s="136"/>
      <c r="I249" s="6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</row>
    <row r="250" spans="1:256" s="7" customFormat="1" ht="27.75" customHeight="1">
      <c r="A250" s="38"/>
      <c r="B250" s="178">
        <v>85313</v>
      </c>
      <c r="C250" s="90" t="s">
        <v>478</v>
      </c>
      <c r="D250" s="231">
        <f>D251</f>
        <v>1473000</v>
      </c>
      <c r="E250" s="232">
        <f>E251</f>
        <v>864000</v>
      </c>
      <c r="F250" s="232">
        <f>F251</f>
        <v>864000</v>
      </c>
      <c r="G250" s="233">
        <f t="shared" si="14"/>
        <v>1</v>
      </c>
      <c r="H250" s="130"/>
      <c r="I250" s="6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</row>
    <row r="251" spans="1:256" s="7" customFormat="1" ht="27.75" customHeight="1">
      <c r="A251" s="38"/>
      <c r="B251" s="274"/>
      <c r="C251" s="173" t="s">
        <v>479</v>
      </c>
      <c r="D251" s="276">
        <v>1473000</v>
      </c>
      <c r="E251" s="272">
        <v>864000</v>
      </c>
      <c r="F251" s="272">
        <v>864000</v>
      </c>
      <c r="G251" s="273">
        <f t="shared" si="14"/>
        <v>1</v>
      </c>
      <c r="H251" s="308"/>
      <c r="I251" s="6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</row>
    <row r="252" spans="1:9" s="7" customFormat="1" ht="19.5" customHeight="1">
      <c r="A252" s="38"/>
      <c r="B252" s="66">
        <v>85314</v>
      </c>
      <c r="C252" s="66" t="s">
        <v>400</v>
      </c>
      <c r="D252" s="67">
        <f>D253</f>
        <v>20316000</v>
      </c>
      <c r="E252" s="190">
        <f>E253</f>
        <v>18711349</v>
      </c>
      <c r="F252" s="190">
        <f>F253</f>
        <v>18711349</v>
      </c>
      <c r="G252" s="270">
        <f t="shared" si="14"/>
        <v>1</v>
      </c>
      <c r="H252" s="308"/>
      <c r="I252" s="6"/>
    </row>
    <row r="253" spans="1:20" s="7" customFormat="1" ht="27" customHeight="1">
      <c r="A253" s="38"/>
      <c r="B253" s="51"/>
      <c r="C253" s="173" t="s">
        <v>480</v>
      </c>
      <c r="D253" s="184">
        <v>20316000</v>
      </c>
      <c r="E253" s="272">
        <v>18711349</v>
      </c>
      <c r="F253" s="272">
        <v>18711349</v>
      </c>
      <c r="G253" s="273">
        <f t="shared" si="14"/>
        <v>1</v>
      </c>
      <c r="H253" s="308"/>
      <c r="I253" s="296"/>
      <c r="J253" s="297"/>
      <c r="K253" s="297"/>
      <c r="L253" s="297"/>
      <c r="M253" s="297"/>
      <c r="N253" s="297"/>
      <c r="O253" s="297"/>
      <c r="P253" s="297"/>
      <c r="Q253" s="297"/>
      <c r="R253" s="297"/>
      <c r="S253" s="297"/>
      <c r="T253" s="297"/>
    </row>
    <row r="254" spans="1:20" s="7" customFormat="1" ht="19.5" customHeight="1">
      <c r="A254" s="38"/>
      <c r="B254" s="66">
        <v>85316</v>
      </c>
      <c r="C254" s="79" t="s">
        <v>481</v>
      </c>
      <c r="D254" s="67">
        <f>D255</f>
        <v>2206000</v>
      </c>
      <c r="E254" s="190">
        <f>E255</f>
        <v>1905488</v>
      </c>
      <c r="F254" s="190">
        <f>F255</f>
        <v>1905488</v>
      </c>
      <c r="G254" s="270">
        <f t="shared" si="14"/>
        <v>1</v>
      </c>
      <c r="H254" s="130"/>
      <c r="I254" s="296"/>
      <c r="J254" s="297"/>
      <c r="K254" s="297"/>
      <c r="L254" s="297"/>
      <c r="M254" s="297"/>
      <c r="N254" s="297"/>
      <c r="O254" s="297"/>
      <c r="P254" s="297"/>
      <c r="Q254" s="297"/>
      <c r="R254" s="297"/>
      <c r="S254" s="297"/>
      <c r="T254" s="297"/>
    </row>
    <row r="255" spans="1:20" s="7" customFormat="1" ht="19.5" customHeight="1">
      <c r="A255" s="50"/>
      <c r="B255" s="274"/>
      <c r="C255" s="71" t="s">
        <v>482</v>
      </c>
      <c r="D255" s="276">
        <v>2206000</v>
      </c>
      <c r="E255" s="306">
        <v>1905488</v>
      </c>
      <c r="F255" s="306">
        <v>1905488</v>
      </c>
      <c r="G255" s="307">
        <f t="shared" si="14"/>
        <v>1</v>
      </c>
      <c r="H255" s="183"/>
      <c r="I255" s="296"/>
      <c r="J255" s="297"/>
      <c r="K255" s="297"/>
      <c r="L255" s="297"/>
      <c r="M255" s="297"/>
      <c r="N255" s="297"/>
      <c r="O255" s="297"/>
      <c r="P255" s="297"/>
      <c r="Q255" s="297"/>
      <c r="R255" s="297"/>
      <c r="S255" s="297"/>
      <c r="T255" s="297"/>
    </row>
    <row r="256" spans="1:20" s="7" customFormat="1" ht="19.5" customHeight="1">
      <c r="A256" s="89"/>
      <c r="B256" s="66">
        <v>85319</v>
      </c>
      <c r="C256" s="79" t="s">
        <v>404</v>
      </c>
      <c r="D256" s="67">
        <f>D257</f>
        <v>3389000</v>
      </c>
      <c r="E256" s="190">
        <f>E257</f>
        <v>3469000</v>
      </c>
      <c r="F256" s="190">
        <f>F257</f>
        <v>3469000</v>
      </c>
      <c r="G256" s="270">
        <f t="shared" si="14"/>
        <v>1</v>
      </c>
      <c r="H256" s="69"/>
      <c r="I256" s="296"/>
      <c r="J256" s="297"/>
      <c r="K256" s="297"/>
      <c r="L256" s="297"/>
      <c r="M256" s="297"/>
      <c r="N256" s="297"/>
      <c r="O256" s="297"/>
      <c r="P256" s="297"/>
      <c r="Q256" s="297"/>
      <c r="R256" s="297"/>
      <c r="S256" s="297"/>
      <c r="T256" s="297"/>
    </row>
    <row r="257" spans="1:20" s="7" customFormat="1" ht="19.5" customHeight="1">
      <c r="A257" s="38"/>
      <c r="B257" s="274"/>
      <c r="C257" s="71" t="s">
        <v>483</v>
      </c>
      <c r="D257" s="276">
        <v>3389000</v>
      </c>
      <c r="E257" s="306">
        <v>3469000</v>
      </c>
      <c r="F257" s="306">
        <v>3469000</v>
      </c>
      <c r="G257" s="307">
        <f t="shared" si="14"/>
        <v>1</v>
      </c>
      <c r="H257" s="278"/>
      <c r="I257" s="296"/>
      <c r="J257" s="297"/>
      <c r="K257" s="297"/>
      <c r="L257" s="297"/>
      <c r="M257" s="297"/>
      <c r="N257" s="297"/>
      <c r="O257" s="297"/>
      <c r="P257" s="297"/>
      <c r="Q257" s="297"/>
      <c r="R257" s="297"/>
      <c r="S257" s="297"/>
      <c r="T257" s="297"/>
    </row>
    <row r="258" spans="1:20" s="7" customFormat="1" ht="19.5" customHeight="1">
      <c r="A258" s="38"/>
      <c r="B258" s="66">
        <v>85328</v>
      </c>
      <c r="C258" s="79" t="s">
        <v>484</v>
      </c>
      <c r="D258" s="67">
        <f>D259</f>
        <v>670000</v>
      </c>
      <c r="E258" s="190">
        <f>E259</f>
        <v>851035</v>
      </c>
      <c r="F258" s="190">
        <f>F259</f>
        <v>851035</v>
      </c>
      <c r="G258" s="270">
        <f t="shared" si="14"/>
        <v>1</v>
      </c>
      <c r="H258" s="308"/>
      <c r="I258" s="296"/>
      <c r="J258" s="297"/>
      <c r="K258" s="297"/>
      <c r="L258" s="297"/>
      <c r="M258" s="297"/>
      <c r="N258" s="297"/>
      <c r="O258" s="297"/>
      <c r="P258" s="297"/>
      <c r="Q258" s="297"/>
      <c r="R258" s="297"/>
      <c r="S258" s="297"/>
      <c r="T258" s="297"/>
    </row>
    <row r="259" spans="1:20" s="7" customFormat="1" ht="19.5" customHeight="1">
      <c r="A259" s="38"/>
      <c r="B259" s="271"/>
      <c r="C259" s="313" t="s">
        <v>485</v>
      </c>
      <c r="D259" s="314">
        <v>670000</v>
      </c>
      <c r="E259" s="423">
        <v>851035</v>
      </c>
      <c r="F259" s="423">
        <v>851035</v>
      </c>
      <c r="G259" s="424">
        <f t="shared" si="14"/>
        <v>1</v>
      </c>
      <c r="H259" s="183"/>
      <c r="I259" s="296"/>
      <c r="J259" s="297"/>
      <c r="K259" s="297"/>
      <c r="L259" s="297"/>
      <c r="M259" s="297"/>
      <c r="N259" s="297"/>
      <c r="O259" s="297"/>
      <c r="P259" s="297"/>
      <c r="Q259" s="297"/>
      <c r="R259" s="297"/>
      <c r="S259" s="297"/>
      <c r="T259" s="297"/>
    </row>
    <row r="260" spans="1:20" s="149" customFormat="1" ht="19.5" customHeight="1">
      <c r="A260" s="89"/>
      <c r="B260" s="279">
        <v>85334</v>
      </c>
      <c r="C260" s="425" t="s">
        <v>486</v>
      </c>
      <c r="D260" s="426"/>
      <c r="E260" s="427">
        <f>E261</f>
        <v>18626</v>
      </c>
      <c r="F260" s="427">
        <f>F261</f>
        <v>18626</v>
      </c>
      <c r="G260" s="428">
        <f t="shared" si="14"/>
        <v>1</v>
      </c>
      <c r="H260" s="236"/>
      <c r="I260" s="429"/>
      <c r="J260" s="430"/>
      <c r="K260" s="430"/>
      <c r="L260" s="430"/>
      <c r="M260" s="430"/>
      <c r="N260" s="430"/>
      <c r="O260" s="430"/>
      <c r="P260" s="430"/>
      <c r="Q260" s="430"/>
      <c r="R260" s="430"/>
      <c r="S260" s="430"/>
      <c r="T260" s="430"/>
    </row>
    <row r="261" spans="1:20" s="7" customFormat="1" ht="19.5" customHeight="1">
      <c r="A261" s="38"/>
      <c r="B261" s="274"/>
      <c r="C261" s="71" t="s">
        <v>487</v>
      </c>
      <c r="D261" s="276"/>
      <c r="E261" s="306">
        <v>18626</v>
      </c>
      <c r="F261" s="306">
        <v>18626</v>
      </c>
      <c r="G261" s="307">
        <f t="shared" si="14"/>
        <v>1</v>
      </c>
      <c r="H261" s="183"/>
      <c r="I261" s="296"/>
      <c r="J261" s="297"/>
      <c r="K261" s="297"/>
      <c r="L261" s="297"/>
      <c r="M261" s="297"/>
      <c r="N261" s="297"/>
      <c r="O261" s="297"/>
      <c r="P261" s="297"/>
      <c r="Q261" s="297"/>
      <c r="R261" s="297"/>
      <c r="S261" s="297"/>
      <c r="T261" s="297"/>
    </row>
    <row r="262" spans="1:20" s="149" customFormat="1" ht="19.5" customHeight="1">
      <c r="A262" s="89"/>
      <c r="B262" s="238">
        <v>85395</v>
      </c>
      <c r="C262" s="406" t="s">
        <v>314</v>
      </c>
      <c r="D262" s="407"/>
      <c r="E262" s="408">
        <f>E263</f>
        <v>31770</v>
      </c>
      <c r="F262" s="408">
        <f>F263</f>
        <v>31770</v>
      </c>
      <c r="G262" s="409">
        <f t="shared" si="14"/>
        <v>1</v>
      </c>
      <c r="H262" s="147"/>
      <c r="I262" s="429"/>
      <c r="J262" s="430"/>
      <c r="K262" s="430"/>
      <c r="L262" s="430"/>
      <c r="M262" s="430"/>
      <c r="N262" s="430"/>
      <c r="O262" s="430"/>
      <c r="P262" s="430"/>
      <c r="Q262" s="430"/>
      <c r="R262" s="430"/>
      <c r="S262" s="430"/>
      <c r="T262" s="430"/>
    </row>
    <row r="263" spans="1:20" s="7" customFormat="1" ht="19.5" customHeight="1">
      <c r="A263" s="38"/>
      <c r="B263" s="271"/>
      <c r="C263" s="313" t="s">
        <v>471</v>
      </c>
      <c r="D263" s="314"/>
      <c r="E263" s="423">
        <v>31770</v>
      </c>
      <c r="F263" s="423">
        <v>31770</v>
      </c>
      <c r="G263" s="424">
        <f t="shared" si="14"/>
        <v>1</v>
      </c>
      <c r="H263" s="183"/>
      <c r="I263" s="296"/>
      <c r="J263" s="297"/>
      <c r="K263" s="297"/>
      <c r="L263" s="297"/>
      <c r="M263" s="297"/>
      <c r="N263" s="297"/>
      <c r="O263" s="297"/>
      <c r="P263" s="297"/>
      <c r="Q263" s="297"/>
      <c r="R263" s="297"/>
      <c r="S263" s="297"/>
      <c r="T263" s="297"/>
    </row>
    <row r="264" spans="1:20" s="7" customFormat="1" ht="19.5" customHeight="1">
      <c r="A264" s="137">
        <v>900</v>
      </c>
      <c r="B264" s="153"/>
      <c r="C264" s="176" t="s">
        <v>413</v>
      </c>
      <c r="D264" s="140">
        <f>D265</f>
        <v>3094000</v>
      </c>
      <c r="E264" s="141">
        <f>E265</f>
        <v>3158860</v>
      </c>
      <c r="F264" s="141">
        <f>F265</f>
        <v>3158860</v>
      </c>
      <c r="G264" s="154">
        <f aca="true" t="shared" si="15" ref="G264:G280">F264/E264</f>
        <v>1</v>
      </c>
      <c r="H264" s="431"/>
      <c r="I264" s="296"/>
      <c r="J264" s="297"/>
      <c r="K264" s="297"/>
      <c r="L264" s="297"/>
      <c r="M264" s="297"/>
      <c r="N264" s="297"/>
      <c r="O264" s="297"/>
      <c r="P264" s="297"/>
      <c r="Q264" s="297"/>
      <c r="R264" s="297"/>
      <c r="S264" s="297"/>
      <c r="T264" s="297"/>
    </row>
    <row r="265" spans="1:20" s="149" customFormat="1" ht="19.5" customHeight="1">
      <c r="A265" s="89"/>
      <c r="B265" s="66">
        <v>90015</v>
      </c>
      <c r="C265" s="79" t="s">
        <v>419</v>
      </c>
      <c r="D265" s="432">
        <f>D266+D267</f>
        <v>3094000</v>
      </c>
      <c r="E265" s="433">
        <f>E266+E267</f>
        <v>3158860</v>
      </c>
      <c r="F265" s="433">
        <f>F266+F267</f>
        <v>3158860</v>
      </c>
      <c r="G265" s="434">
        <f t="shared" si="15"/>
        <v>1</v>
      </c>
      <c r="H265" s="69"/>
      <c r="I265" s="296"/>
      <c r="J265" s="297"/>
      <c r="K265" s="297"/>
      <c r="L265" s="297"/>
      <c r="M265" s="297"/>
      <c r="N265" s="297"/>
      <c r="O265" s="297"/>
      <c r="P265" s="297"/>
      <c r="Q265" s="297"/>
      <c r="R265" s="297"/>
      <c r="S265" s="297"/>
      <c r="T265" s="297"/>
    </row>
    <row r="266" spans="1:20" s="7" customFormat="1" ht="19.5" customHeight="1">
      <c r="A266" s="38"/>
      <c r="B266" s="39"/>
      <c r="C266" s="93" t="s">
        <v>488</v>
      </c>
      <c r="D266" s="94">
        <v>2955000</v>
      </c>
      <c r="E266" s="193">
        <v>3019860</v>
      </c>
      <c r="F266" s="193">
        <v>3019860</v>
      </c>
      <c r="G266" s="194">
        <f t="shared" si="15"/>
        <v>1</v>
      </c>
      <c r="H266" s="308"/>
      <c r="I266" s="296"/>
      <c r="J266" s="297"/>
      <c r="K266" s="297"/>
      <c r="L266" s="297"/>
      <c r="M266" s="297"/>
      <c r="N266" s="297"/>
      <c r="O266" s="297"/>
      <c r="P266" s="297"/>
      <c r="Q266" s="297"/>
      <c r="R266" s="297"/>
      <c r="S266" s="297"/>
      <c r="T266" s="297"/>
    </row>
    <row r="267" spans="1:20" s="7" customFormat="1" ht="19.5" customHeight="1">
      <c r="A267" s="38"/>
      <c r="B267" s="39"/>
      <c r="C267" s="166" t="s">
        <v>489</v>
      </c>
      <c r="D267" s="224">
        <v>139000</v>
      </c>
      <c r="E267" s="294">
        <v>139000</v>
      </c>
      <c r="F267" s="294">
        <v>139000</v>
      </c>
      <c r="G267" s="295">
        <f t="shared" si="15"/>
        <v>1</v>
      </c>
      <c r="H267" s="183"/>
      <c r="I267" s="296"/>
      <c r="J267" s="297"/>
      <c r="K267" s="297"/>
      <c r="L267" s="297"/>
      <c r="M267" s="297"/>
      <c r="N267" s="297"/>
      <c r="O267" s="297"/>
      <c r="P267" s="297"/>
      <c r="Q267" s="297"/>
      <c r="R267" s="297"/>
      <c r="S267" s="297"/>
      <c r="T267" s="297"/>
    </row>
    <row r="268" spans="1:20" s="7" customFormat="1" ht="25.5" customHeight="1" thickBot="1">
      <c r="A268" s="38"/>
      <c r="B268" s="39"/>
      <c r="C268" s="45" t="s">
        <v>490</v>
      </c>
      <c r="D268" s="435">
        <f>D269+D386+D394+D433+D446</f>
        <v>194735192</v>
      </c>
      <c r="E268" s="436">
        <f>E269+E386+E394+E433+E446</f>
        <v>205181011</v>
      </c>
      <c r="F268" s="436">
        <f>F269+F386+F394+F433+F446</f>
        <v>202119342</v>
      </c>
      <c r="G268" s="437">
        <f t="shared" si="15"/>
        <v>0.9850782049221894</v>
      </c>
      <c r="H268" s="438"/>
      <c r="I268" s="296"/>
      <c r="J268" s="297"/>
      <c r="K268" s="297"/>
      <c r="L268" s="297"/>
      <c r="M268" s="297"/>
      <c r="N268" s="297"/>
      <c r="O268" s="297"/>
      <c r="P268" s="297"/>
      <c r="Q268" s="297"/>
      <c r="R268" s="297"/>
      <c r="S268" s="297"/>
      <c r="T268" s="297"/>
    </row>
    <row r="269" spans="1:20" s="7" customFormat="1" ht="19.5" customHeight="1" thickBot="1">
      <c r="A269" s="50"/>
      <c r="B269" s="51"/>
      <c r="C269" s="439" t="s">
        <v>491</v>
      </c>
      <c r="D269" s="53">
        <f>D270+D274+D277+D283+D287+D290+D294+D305+D339+D360</f>
        <v>16746019</v>
      </c>
      <c r="E269" s="54">
        <f>E270+E274+E277+E283+E287+E290+E294+E305+E339+E360</f>
        <v>16742654</v>
      </c>
      <c r="F269" s="54">
        <f>F270+F274+F277+F283+F287+F290+F294+F302+F305+F339+F360</f>
        <v>14268396</v>
      </c>
      <c r="G269" s="55">
        <f t="shared" si="15"/>
        <v>0.8522182922731366</v>
      </c>
      <c r="H269" s="440"/>
      <c r="I269" s="296"/>
      <c r="J269" s="297"/>
      <c r="K269" s="297"/>
      <c r="L269" s="297"/>
      <c r="M269" s="297"/>
      <c r="N269" s="297"/>
      <c r="O269" s="297"/>
      <c r="P269" s="297"/>
      <c r="Q269" s="297"/>
      <c r="R269" s="297"/>
      <c r="S269" s="297"/>
      <c r="T269" s="297"/>
    </row>
    <row r="270" spans="1:20" s="7" customFormat="1" ht="19.5" customHeight="1" thickTop="1">
      <c r="A270" s="138" t="s">
        <v>311</v>
      </c>
      <c r="B270" s="153"/>
      <c r="C270" s="176" t="s">
        <v>312</v>
      </c>
      <c r="D270" s="140">
        <f>D271</f>
        <v>3700</v>
      </c>
      <c r="E270" s="141">
        <f>E271</f>
        <v>335</v>
      </c>
      <c r="F270" s="141">
        <f>F271</f>
        <v>335</v>
      </c>
      <c r="G270" s="77">
        <f t="shared" si="15"/>
        <v>1</v>
      </c>
      <c r="H270" s="441"/>
      <c r="I270" s="296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</row>
    <row r="271" spans="1:9" s="7" customFormat="1" ht="19.5" customHeight="1">
      <c r="A271" s="89"/>
      <c r="B271" s="65" t="s">
        <v>492</v>
      </c>
      <c r="C271" s="80" t="s">
        <v>493</v>
      </c>
      <c r="D271" s="67">
        <f>D272+D273</f>
        <v>3700</v>
      </c>
      <c r="E271" s="190">
        <f>E272+E273</f>
        <v>335</v>
      </c>
      <c r="F271" s="190">
        <f>F272+F273</f>
        <v>335</v>
      </c>
      <c r="G271" s="270">
        <f t="shared" si="15"/>
        <v>1</v>
      </c>
      <c r="H271" s="69"/>
      <c r="I271" s="6"/>
    </row>
    <row r="272" spans="1:12" s="7" customFormat="1" ht="19.5" customHeight="1">
      <c r="A272" s="38"/>
      <c r="B272" s="442"/>
      <c r="C272" s="150" t="s">
        <v>382</v>
      </c>
      <c r="D272" s="94">
        <v>3500</v>
      </c>
      <c r="E272" s="94">
        <v>273</v>
      </c>
      <c r="F272" s="94">
        <v>273</v>
      </c>
      <c r="G272" s="95">
        <f t="shared" si="15"/>
        <v>1</v>
      </c>
      <c r="H272" s="130"/>
      <c r="I272" s="85"/>
      <c r="J272" s="2"/>
      <c r="K272" s="2"/>
      <c r="L272" s="2"/>
    </row>
    <row r="273" spans="1:256" s="7" customFormat="1" ht="39" customHeight="1">
      <c r="A273" s="50"/>
      <c r="B273" s="51"/>
      <c r="C273" s="166" t="s">
        <v>388</v>
      </c>
      <c r="D273" s="184">
        <v>200</v>
      </c>
      <c r="E273" s="184">
        <v>62</v>
      </c>
      <c r="F273" s="184">
        <v>62</v>
      </c>
      <c r="G273" s="185">
        <f t="shared" si="15"/>
        <v>1</v>
      </c>
      <c r="H273" s="308"/>
      <c r="I273" s="85"/>
      <c r="J273" s="2"/>
      <c r="K273" s="2"/>
      <c r="L273" s="2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8"/>
      <c r="IV273" s="8"/>
    </row>
    <row r="274" spans="1:12" s="443" customFormat="1" ht="19.5" customHeight="1">
      <c r="A274" s="177">
        <v>630</v>
      </c>
      <c r="B274" s="58"/>
      <c r="C274" s="76" t="s">
        <v>494</v>
      </c>
      <c r="D274" s="227">
        <f>D275</f>
        <v>420</v>
      </c>
      <c r="E274" s="228">
        <f>E275</f>
        <v>420</v>
      </c>
      <c r="F274" s="228">
        <f>F275</f>
        <v>163</v>
      </c>
      <c r="G274" s="303">
        <f t="shared" si="15"/>
        <v>0.3880952380952381</v>
      </c>
      <c r="H274" s="304"/>
      <c r="I274" s="144"/>
      <c r="J274" s="145"/>
      <c r="K274" s="145"/>
      <c r="L274" s="145"/>
    </row>
    <row r="275" spans="1:256" s="7" customFormat="1" ht="19.5" customHeight="1">
      <c r="A275" s="248"/>
      <c r="B275" s="66">
        <v>63001</v>
      </c>
      <c r="C275" s="80" t="s">
        <v>495</v>
      </c>
      <c r="D275" s="67">
        <v>420</v>
      </c>
      <c r="E275" s="190">
        <v>420</v>
      </c>
      <c r="F275" s="190">
        <f>F276</f>
        <v>163</v>
      </c>
      <c r="G275" s="270">
        <f t="shared" si="15"/>
        <v>0.3880952380952381</v>
      </c>
      <c r="H275" s="130"/>
      <c r="I275" s="85"/>
      <c r="J275" s="2"/>
      <c r="K275" s="2"/>
      <c r="L275" s="2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</row>
    <row r="276" spans="1:9" ht="19.5" customHeight="1">
      <c r="A276" s="38"/>
      <c r="B276" s="39"/>
      <c r="C276" s="133" t="s">
        <v>496</v>
      </c>
      <c r="D276" s="40">
        <v>420</v>
      </c>
      <c r="E276" s="40">
        <v>420</v>
      </c>
      <c r="F276" s="40">
        <v>163</v>
      </c>
      <c r="G276" s="41">
        <f t="shared" si="15"/>
        <v>0.3880952380952381</v>
      </c>
      <c r="H276" s="136"/>
      <c r="I276" s="147"/>
    </row>
    <row r="277" spans="1:8" ht="19.5" customHeight="1">
      <c r="A277" s="444">
        <v>700</v>
      </c>
      <c r="B277" s="176"/>
      <c r="C277" s="139" t="s">
        <v>497</v>
      </c>
      <c r="D277" s="140">
        <f>D278</f>
        <v>1500000</v>
      </c>
      <c r="E277" s="141">
        <f>E278</f>
        <v>1500000</v>
      </c>
      <c r="F277" s="141">
        <f>F278</f>
        <v>1150564</v>
      </c>
      <c r="G277" s="154">
        <f t="shared" si="15"/>
        <v>0.7670426666666667</v>
      </c>
      <c r="H277" s="63"/>
    </row>
    <row r="278" spans="1:8" ht="19.5" customHeight="1">
      <c r="A278" s="89"/>
      <c r="B278" s="66">
        <v>70005</v>
      </c>
      <c r="C278" s="90" t="s">
        <v>319</v>
      </c>
      <c r="D278" s="445">
        <f>SUM(D279+D280)</f>
        <v>1500000</v>
      </c>
      <c r="E278" s="446">
        <f>SUM(E279+E280)</f>
        <v>1500000</v>
      </c>
      <c r="F278" s="446">
        <f>SUM(F279:F281)</f>
        <v>1150564</v>
      </c>
      <c r="G278" s="447">
        <f t="shared" si="15"/>
        <v>0.7670426666666667</v>
      </c>
      <c r="H278" s="91"/>
    </row>
    <row r="279" spans="1:8" ht="19.5" customHeight="1">
      <c r="A279" s="38"/>
      <c r="B279" s="92"/>
      <c r="C279" s="150" t="s">
        <v>498</v>
      </c>
      <c r="D279" s="151">
        <v>1000000</v>
      </c>
      <c r="E279" s="151">
        <v>1000000</v>
      </c>
      <c r="F279" s="151">
        <v>780004</v>
      </c>
      <c r="G279" s="152">
        <f t="shared" si="15"/>
        <v>0.780004</v>
      </c>
      <c r="H279" s="448"/>
    </row>
    <row r="280" spans="1:10" ht="19.5" customHeight="1">
      <c r="A280" s="38"/>
      <c r="B280" s="38"/>
      <c r="C280" s="118" t="s">
        <v>499</v>
      </c>
      <c r="D280" s="207">
        <v>500000</v>
      </c>
      <c r="E280" s="449">
        <v>500000</v>
      </c>
      <c r="F280" s="449">
        <v>370342</v>
      </c>
      <c r="G280" s="450">
        <f t="shared" si="15"/>
        <v>0.740684</v>
      </c>
      <c r="H280" s="451"/>
      <c r="J280" s="452"/>
    </row>
    <row r="281" spans="1:10" ht="19.5" customHeight="1">
      <c r="A281" s="50"/>
      <c r="B281" s="50"/>
      <c r="C281" s="86" t="s">
        <v>331</v>
      </c>
      <c r="D281" s="210"/>
      <c r="E281" s="453"/>
      <c r="F281" s="454">
        <v>218</v>
      </c>
      <c r="G281" s="455"/>
      <c r="H281" s="258"/>
      <c r="J281" s="452"/>
    </row>
    <row r="282" spans="1:10" ht="19.5" customHeight="1">
      <c r="A282" s="283"/>
      <c r="B282" s="283"/>
      <c r="C282" s="456"/>
      <c r="D282" s="457"/>
      <c r="E282" s="457"/>
      <c r="F282" s="457"/>
      <c r="G282" s="458"/>
      <c r="H282" s="459"/>
      <c r="J282" s="452"/>
    </row>
    <row r="283" spans="1:8" ht="19.5" customHeight="1">
      <c r="A283" s="75">
        <v>710</v>
      </c>
      <c r="B283" s="59"/>
      <c r="C283" s="76" t="s">
        <v>332</v>
      </c>
      <c r="D283" s="60">
        <f>D284</f>
        <v>1560</v>
      </c>
      <c r="E283" s="61">
        <f>E284</f>
        <v>1560</v>
      </c>
      <c r="F283" s="61">
        <f>F284</f>
        <v>511</v>
      </c>
      <c r="G283" s="77">
        <f aca="true" t="shared" si="16" ref="G283:G301">F283/E283</f>
        <v>0.32756410256410257</v>
      </c>
      <c r="H283" s="237"/>
    </row>
    <row r="284" spans="1:8" ht="19.5" customHeight="1">
      <c r="A284" s="78"/>
      <c r="B284" s="79">
        <v>71015</v>
      </c>
      <c r="C284" s="80" t="s">
        <v>500</v>
      </c>
      <c r="D284" s="179">
        <f>D285+D286</f>
        <v>1560</v>
      </c>
      <c r="E284" s="180">
        <f>E285+E286</f>
        <v>1560</v>
      </c>
      <c r="F284" s="180">
        <f>F285+F286</f>
        <v>511</v>
      </c>
      <c r="G284" s="83">
        <f t="shared" si="16"/>
        <v>0.32756410256410257</v>
      </c>
      <c r="H284" s="91"/>
    </row>
    <row r="285" spans="1:12" ht="19.5" customHeight="1">
      <c r="A285" s="78"/>
      <c r="B285" s="425"/>
      <c r="C285" s="118" t="s">
        <v>382</v>
      </c>
      <c r="D285" s="151">
        <v>1500</v>
      </c>
      <c r="E285" s="119">
        <v>1500</v>
      </c>
      <c r="F285" s="119">
        <v>463</v>
      </c>
      <c r="G285" s="120">
        <f t="shared" si="16"/>
        <v>0.30866666666666664</v>
      </c>
      <c r="H285" s="460"/>
      <c r="L285" s="461"/>
    </row>
    <row r="286" spans="1:8" ht="39" customHeight="1">
      <c r="A286" s="462"/>
      <c r="B286" s="463"/>
      <c r="C286" s="166" t="s">
        <v>388</v>
      </c>
      <c r="D286" s="210">
        <v>60</v>
      </c>
      <c r="E286" s="210">
        <v>60</v>
      </c>
      <c r="F286" s="210">
        <v>48</v>
      </c>
      <c r="G286" s="211">
        <f t="shared" si="16"/>
        <v>0.8</v>
      </c>
      <c r="H286" s="464"/>
    </row>
    <row r="287" spans="1:8" ht="19.5" customHeight="1">
      <c r="A287" s="75">
        <v>750</v>
      </c>
      <c r="B287" s="59"/>
      <c r="C287" s="76" t="s">
        <v>336</v>
      </c>
      <c r="D287" s="60">
        <f>D288</f>
        <v>5000</v>
      </c>
      <c r="E287" s="61">
        <f>E288</f>
        <v>5000</v>
      </c>
      <c r="F287" s="61">
        <f>F288</f>
        <v>4810</v>
      </c>
      <c r="G287" s="62">
        <f t="shared" si="16"/>
        <v>0.962</v>
      </c>
      <c r="H287" s="63"/>
    </row>
    <row r="288" spans="1:8" ht="19.5" customHeight="1">
      <c r="A288" s="64"/>
      <c r="B288" s="178">
        <v>75095</v>
      </c>
      <c r="C288" s="90" t="s">
        <v>314</v>
      </c>
      <c r="D288" s="179">
        <v>5000</v>
      </c>
      <c r="E288" s="179">
        <v>5000</v>
      </c>
      <c r="F288" s="179">
        <f>F289</f>
        <v>4810</v>
      </c>
      <c r="G288" s="235">
        <f t="shared" si="16"/>
        <v>0.962</v>
      </c>
      <c r="H288" s="84"/>
    </row>
    <row r="289" spans="1:8" ht="19.5" customHeight="1">
      <c r="A289" s="50"/>
      <c r="B289" s="126"/>
      <c r="C289" s="86" t="s">
        <v>501</v>
      </c>
      <c r="D289" s="210">
        <v>5000</v>
      </c>
      <c r="E289" s="210">
        <v>5000</v>
      </c>
      <c r="F289" s="210">
        <v>4810</v>
      </c>
      <c r="G289" s="211">
        <f t="shared" si="16"/>
        <v>0.962</v>
      </c>
      <c r="H289" s="465"/>
    </row>
    <row r="290" spans="1:8" ht="19.5" customHeight="1">
      <c r="A290" s="75">
        <v>754</v>
      </c>
      <c r="B290" s="59"/>
      <c r="C290" s="76" t="s">
        <v>344</v>
      </c>
      <c r="D290" s="60">
        <f>D291</f>
        <v>14000</v>
      </c>
      <c r="E290" s="61">
        <f>E291</f>
        <v>14000</v>
      </c>
      <c r="F290" s="61">
        <f>F291</f>
        <v>7359</v>
      </c>
      <c r="G290" s="62">
        <f t="shared" si="16"/>
        <v>0.5256428571428572</v>
      </c>
      <c r="H290" s="63"/>
    </row>
    <row r="291" spans="1:8" ht="19.5" customHeight="1">
      <c r="A291" s="248"/>
      <c r="B291" s="178">
        <v>75411</v>
      </c>
      <c r="C291" s="466" t="s">
        <v>502</v>
      </c>
      <c r="D291" s="179">
        <f>D292+D293</f>
        <v>14000</v>
      </c>
      <c r="E291" s="180">
        <f>E292+E293</f>
        <v>14000</v>
      </c>
      <c r="F291" s="180">
        <f>F292+F293</f>
        <v>7359</v>
      </c>
      <c r="G291" s="181">
        <f t="shared" si="16"/>
        <v>0.5256428571428572</v>
      </c>
      <c r="H291" s="84"/>
    </row>
    <row r="292" spans="1:8" ht="19.5" customHeight="1">
      <c r="A292" s="38"/>
      <c r="B292" s="39"/>
      <c r="C292" s="122" t="s">
        <v>382</v>
      </c>
      <c r="D292" s="119">
        <v>10000</v>
      </c>
      <c r="E292" s="119">
        <v>10000</v>
      </c>
      <c r="F292" s="119">
        <v>4573</v>
      </c>
      <c r="G292" s="120">
        <f t="shared" si="16"/>
        <v>0.4573</v>
      </c>
      <c r="H292" s="243"/>
    </row>
    <row r="293" spans="1:8" ht="39.75" customHeight="1">
      <c r="A293" s="50"/>
      <c r="B293" s="126"/>
      <c r="C293" s="166" t="s">
        <v>343</v>
      </c>
      <c r="D293" s="210">
        <v>4000</v>
      </c>
      <c r="E293" s="210">
        <v>4000</v>
      </c>
      <c r="F293" s="210">
        <v>2786</v>
      </c>
      <c r="G293" s="211">
        <f t="shared" si="16"/>
        <v>0.6965</v>
      </c>
      <c r="H293" s="464"/>
    </row>
    <row r="294" spans="1:8" ht="27" customHeight="1">
      <c r="A294" s="75">
        <v>756</v>
      </c>
      <c r="B294" s="59"/>
      <c r="C294" s="76" t="s">
        <v>424</v>
      </c>
      <c r="D294" s="60">
        <f>D295+D300</f>
        <v>11357219</v>
      </c>
      <c r="E294" s="61">
        <f>E295+E300</f>
        <v>11357219</v>
      </c>
      <c r="F294" s="61">
        <f>F295+F300</f>
        <v>9236725</v>
      </c>
      <c r="G294" s="77">
        <f t="shared" si="16"/>
        <v>0.8132910882496851</v>
      </c>
      <c r="H294" s="63"/>
    </row>
    <row r="295" spans="1:9" s="475" customFormat="1" ht="30.75" customHeight="1">
      <c r="A295" s="467"/>
      <c r="B295" s="468">
        <v>75618</v>
      </c>
      <c r="C295" s="469" t="s">
        <v>366</v>
      </c>
      <c r="D295" s="470">
        <f>D296+D297+D298+D299</f>
        <v>7475000</v>
      </c>
      <c r="E295" s="471">
        <f>E296+E297+E298+E299</f>
        <v>7475000</v>
      </c>
      <c r="F295" s="471">
        <f>F296+F297+F298+F299</f>
        <v>5630506</v>
      </c>
      <c r="G295" s="472">
        <f t="shared" si="16"/>
        <v>0.7532449498327759</v>
      </c>
      <c r="H295" s="473"/>
      <c r="I295" s="474"/>
    </row>
    <row r="296" spans="1:9" s="475" customFormat="1" ht="19.5" customHeight="1">
      <c r="A296" s="476"/>
      <c r="B296" s="477"/>
      <c r="C296" s="478" t="s">
        <v>503</v>
      </c>
      <c r="D296" s="479">
        <v>7300000</v>
      </c>
      <c r="E296" s="480">
        <v>7300000</v>
      </c>
      <c r="F296" s="480">
        <v>5190139</v>
      </c>
      <c r="G296" s="481">
        <f t="shared" si="16"/>
        <v>0.7109779452054794</v>
      </c>
      <c r="H296" s="473"/>
      <c r="I296" s="474"/>
    </row>
    <row r="297" spans="1:9" s="475" customFormat="1" ht="39" customHeight="1">
      <c r="A297" s="476"/>
      <c r="B297" s="482"/>
      <c r="C297" s="118" t="s">
        <v>504</v>
      </c>
      <c r="D297" s="123">
        <v>100000</v>
      </c>
      <c r="E297" s="201">
        <v>100000</v>
      </c>
      <c r="F297" s="201">
        <v>303343</v>
      </c>
      <c r="G297" s="202">
        <f t="shared" si="16"/>
        <v>3.03343</v>
      </c>
      <c r="H297" s="473"/>
      <c r="I297" s="474"/>
    </row>
    <row r="298" spans="1:9" s="475" customFormat="1" ht="19.5" customHeight="1">
      <c r="A298" s="476"/>
      <c r="B298" s="482"/>
      <c r="C298" s="118" t="s">
        <v>505</v>
      </c>
      <c r="D298" s="123">
        <v>25000</v>
      </c>
      <c r="E298" s="201">
        <v>25000</v>
      </c>
      <c r="F298" s="201">
        <v>114694</v>
      </c>
      <c r="G298" s="202">
        <f t="shared" si="16"/>
        <v>4.58776</v>
      </c>
      <c r="H298" s="473"/>
      <c r="I298" s="474"/>
    </row>
    <row r="299" spans="1:9" s="475" customFormat="1" ht="19.5" customHeight="1">
      <c r="A299" s="476"/>
      <c r="B299" s="483"/>
      <c r="C299" s="127" t="s">
        <v>506</v>
      </c>
      <c r="D299" s="224">
        <v>50000</v>
      </c>
      <c r="E299" s="294">
        <v>50000</v>
      </c>
      <c r="F299" s="294">
        <v>22330</v>
      </c>
      <c r="G299" s="295">
        <f t="shared" si="16"/>
        <v>0.4466</v>
      </c>
      <c r="H299" s="473"/>
      <c r="I299" s="474"/>
    </row>
    <row r="300" spans="1:8" ht="19.5" customHeight="1">
      <c r="A300" s="89"/>
      <c r="B300" s="66">
        <v>75622</v>
      </c>
      <c r="C300" s="79" t="s">
        <v>507</v>
      </c>
      <c r="D300" s="212">
        <f>D301</f>
        <v>3882219</v>
      </c>
      <c r="E300" s="213">
        <f>E301</f>
        <v>3882219</v>
      </c>
      <c r="F300" s="213">
        <f>F301</f>
        <v>3606219</v>
      </c>
      <c r="G300" s="214">
        <f t="shared" si="16"/>
        <v>0.9289066381881084</v>
      </c>
      <c r="H300" s="484"/>
    </row>
    <row r="301" spans="1:8" ht="19.5" customHeight="1">
      <c r="A301" s="50"/>
      <c r="B301" s="126"/>
      <c r="C301" s="86" t="s">
        <v>508</v>
      </c>
      <c r="D301" s="210">
        <v>3882219</v>
      </c>
      <c r="E301" s="217">
        <v>3882219</v>
      </c>
      <c r="F301" s="217">
        <v>3606219</v>
      </c>
      <c r="G301" s="218">
        <f t="shared" si="16"/>
        <v>0.9289066381881084</v>
      </c>
      <c r="H301" s="253"/>
    </row>
    <row r="302" spans="1:8" ht="19.5" customHeight="1">
      <c r="A302" s="137">
        <v>758</v>
      </c>
      <c r="B302" s="138"/>
      <c r="C302" s="139" t="s">
        <v>380</v>
      </c>
      <c r="D302" s="485"/>
      <c r="E302" s="486"/>
      <c r="F302" s="486">
        <f>F303</f>
        <v>4968</v>
      </c>
      <c r="G302" s="487"/>
      <c r="H302" s="488"/>
    </row>
    <row r="303" spans="1:9" s="149" customFormat="1" ht="19.5" customHeight="1">
      <c r="A303" s="89"/>
      <c r="B303" s="65">
        <v>75814</v>
      </c>
      <c r="C303" s="80" t="s">
        <v>381</v>
      </c>
      <c r="D303" s="212"/>
      <c r="E303" s="212"/>
      <c r="F303" s="212">
        <f>F304</f>
        <v>4968</v>
      </c>
      <c r="G303" s="219"/>
      <c r="H303" s="489"/>
      <c r="I303" s="148"/>
    </row>
    <row r="304" spans="1:8" ht="19.5" customHeight="1">
      <c r="A304" s="50"/>
      <c r="B304" s="126"/>
      <c r="C304" s="86" t="s">
        <v>331</v>
      </c>
      <c r="D304" s="210"/>
      <c r="E304" s="210"/>
      <c r="F304" s="210">
        <v>4968</v>
      </c>
      <c r="G304" s="211"/>
      <c r="H304" s="258"/>
    </row>
    <row r="305" spans="1:8" ht="19.5" customHeight="1">
      <c r="A305" s="137">
        <v>801</v>
      </c>
      <c r="B305" s="153"/>
      <c r="C305" s="176" t="s">
        <v>386</v>
      </c>
      <c r="D305" s="140">
        <f>D306+D309+D312+D316+D319+D322+D326+D330+D333</f>
        <v>158840</v>
      </c>
      <c r="E305" s="141">
        <f>E306+E309+E312+E316+E319+E322+E326+E330+E333</f>
        <v>158840</v>
      </c>
      <c r="F305" s="141">
        <f>F306+F309+F312+F316+F319+F322+F326+F330+F333+F337</f>
        <v>140011</v>
      </c>
      <c r="G305" s="154">
        <f aca="true" t="shared" si="17" ref="G305:G314">F305/E305</f>
        <v>0.8814593301435407</v>
      </c>
      <c r="H305" s="237"/>
    </row>
    <row r="306" spans="1:8" ht="19.5" customHeight="1">
      <c r="A306" s="89"/>
      <c r="B306" s="66">
        <v>80102</v>
      </c>
      <c r="C306" s="80" t="s">
        <v>509</v>
      </c>
      <c r="D306" s="81">
        <f>D307+D308</f>
        <v>1210</v>
      </c>
      <c r="E306" s="82">
        <f>E307+E308</f>
        <v>1210</v>
      </c>
      <c r="F306" s="82">
        <f>F307+F308</f>
        <v>1622</v>
      </c>
      <c r="G306" s="83">
        <f t="shared" si="17"/>
        <v>1.340495867768595</v>
      </c>
      <c r="H306" s="84"/>
    </row>
    <row r="307" spans="1:8" ht="19.5" customHeight="1">
      <c r="A307" s="50"/>
      <c r="B307" s="274"/>
      <c r="C307" s="275" t="s">
        <v>382</v>
      </c>
      <c r="D307" s="72">
        <v>320</v>
      </c>
      <c r="E307" s="72">
        <v>320</v>
      </c>
      <c r="F307" s="72">
        <v>264</v>
      </c>
      <c r="G307" s="73">
        <f t="shared" si="17"/>
        <v>0.825</v>
      </c>
      <c r="H307" s="243"/>
    </row>
    <row r="308" spans="1:8" ht="38.25" customHeight="1">
      <c r="A308" s="38"/>
      <c r="B308" s="126"/>
      <c r="C308" s="173" t="s">
        <v>343</v>
      </c>
      <c r="D308" s="184">
        <v>890</v>
      </c>
      <c r="E308" s="184">
        <v>890</v>
      </c>
      <c r="F308" s="184">
        <v>1358</v>
      </c>
      <c r="G308" s="185">
        <f t="shared" si="17"/>
        <v>1.5258426966292136</v>
      </c>
      <c r="H308" s="308"/>
    </row>
    <row r="309" spans="1:8" ht="19.5" customHeight="1">
      <c r="A309" s="89"/>
      <c r="B309" s="66">
        <v>80111</v>
      </c>
      <c r="C309" s="80" t="s">
        <v>510</v>
      </c>
      <c r="D309" s="81">
        <f>D310+D311</f>
        <v>820</v>
      </c>
      <c r="E309" s="82">
        <f>E310+E311</f>
        <v>820</v>
      </c>
      <c r="F309" s="82">
        <f>F310+F311</f>
        <v>2431</v>
      </c>
      <c r="G309" s="83">
        <f t="shared" si="17"/>
        <v>2.9646341463414636</v>
      </c>
      <c r="H309" s="84"/>
    </row>
    <row r="310" spans="1:8" ht="19.5" customHeight="1">
      <c r="A310" s="38"/>
      <c r="B310" s="271"/>
      <c r="C310" s="150" t="s">
        <v>382</v>
      </c>
      <c r="D310" s="151">
        <v>320</v>
      </c>
      <c r="E310" s="151">
        <v>320</v>
      </c>
      <c r="F310" s="151">
        <v>2022</v>
      </c>
      <c r="G310" s="152">
        <f t="shared" si="17"/>
        <v>6.31875</v>
      </c>
      <c r="H310" s="165"/>
    </row>
    <row r="311" spans="1:8" ht="40.5" customHeight="1">
      <c r="A311" s="38"/>
      <c r="B311" s="126"/>
      <c r="C311" s="173" t="s">
        <v>343</v>
      </c>
      <c r="D311" s="87">
        <v>500</v>
      </c>
      <c r="E311" s="87">
        <v>500</v>
      </c>
      <c r="F311" s="87">
        <v>409</v>
      </c>
      <c r="G311" s="88">
        <f t="shared" si="17"/>
        <v>0.818</v>
      </c>
      <c r="H311" s="243"/>
    </row>
    <row r="312" spans="1:8" ht="19.5" customHeight="1">
      <c r="A312" s="89"/>
      <c r="B312" s="66">
        <v>80120</v>
      </c>
      <c r="C312" s="80" t="s">
        <v>511</v>
      </c>
      <c r="D312" s="81">
        <f>D313+D314</f>
        <v>36600</v>
      </c>
      <c r="E312" s="82">
        <f>E313+E314</f>
        <v>36600</v>
      </c>
      <c r="F312" s="82">
        <f>F313+F314+F315</f>
        <v>22054</v>
      </c>
      <c r="G312" s="83">
        <f t="shared" si="17"/>
        <v>0.6025683060109289</v>
      </c>
      <c r="H312" s="84"/>
    </row>
    <row r="313" spans="1:8" ht="19.5" customHeight="1">
      <c r="A313" s="89"/>
      <c r="B313" s="238"/>
      <c r="C313" s="150" t="s">
        <v>382</v>
      </c>
      <c r="D313" s="151">
        <v>29300</v>
      </c>
      <c r="E313" s="151">
        <v>29300</v>
      </c>
      <c r="F313" s="151">
        <v>12893</v>
      </c>
      <c r="G313" s="152">
        <f t="shared" si="17"/>
        <v>0.4400341296928328</v>
      </c>
      <c r="H313" s="490"/>
    </row>
    <row r="314" spans="1:8" ht="40.5" customHeight="1">
      <c r="A314" s="38"/>
      <c r="B314" s="97"/>
      <c r="C314" s="122" t="s">
        <v>343</v>
      </c>
      <c r="D314" s="123">
        <v>7300</v>
      </c>
      <c r="E314" s="123">
        <v>7300</v>
      </c>
      <c r="F314" s="123">
        <v>5700</v>
      </c>
      <c r="G314" s="124">
        <f t="shared" si="17"/>
        <v>0.7808219178082192</v>
      </c>
      <c r="H314" s="125"/>
    </row>
    <row r="315" spans="1:8" ht="19.5" customHeight="1">
      <c r="A315" s="38"/>
      <c r="B315" s="97"/>
      <c r="C315" s="173" t="s">
        <v>331</v>
      </c>
      <c r="D315" s="184"/>
      <c r="E315" s="184"/>
      <c r="F315" s="184">
        <v>3461</v>
      </c>
      <c r="G315" s="185"/>
      <c r="H315" s="136"/>
    </row>
    <row r="316" spans="1:8" ht="19.5" customHeight="1">
      <c r="A316" s="89"/>
      <c r="B316" s="178">
        <v>80121</v>
      </c>
      <c r="C316" s="466" t="s">
        <v>512</v>
      </c>
      <c r="D316" s="231">
        <f>D317+D318</f>
        <v>680</v>
      </c>
      <c r="E316" s="232">
        <f>E317+E318</f>
        <v>680</v>
      </c>
      <c r="F316" s="232">
        <f>F317+F318</f>
        <v>501</v>
      </c>
      <c r="G316" s="233">
        <f aca="true" t="shared" si="18" ref="G316:G328">F316/E316</f>
        <v>0.736764705882353</v>
      </c>
      <c r="H316" s="69"/>
    </row>
    <row r="317" spans="1:8" ht="19.5" customHeight="1">
      <c r="A317" s="38"/>
      <c r="B317" s="271"/>
      <c r="C317" s="150" t="s">
        <v>382</v>
      </c>
      <c r="D317" s="94">
        <v>400</v>
      </c>
      <c r="E317" s="94">
        <v>400</v>
      </c>
      <c r="F317" s="94">
        <v>218</v>
      </c>
      <c r="G317" s="95">
        <f t="shared" si="18"/>
        <v>0.545</v>
      </c>
      <c r="H317" s="136"/>
    </row>
    <row r="318" spans="1:8" ht="39" customHeight="1">
      <c r="A318" s="38"/>
      <c r="B318" s="126"/>
      <c r="C318" s="173" t="s">
        <v>343</v>
      </c>
      <c r="D318" s="184">
        <v>280</v>
      </c>
      <c r="E318" s="184">
        <v>280</v>
      </c>
      <c r="F318" s="184">
        <v>283</v>
      </c>
      <c r="G318" s="185">
        <f t="shared" si="18"/>
        <v>1.0107142857142857</v>
      </c>
      <c r="H318" s="130"/>
    </row>
    <row r="319" spans="1:8" ht="19.5" customHeight="1">
      <c r="A319" s="89"/>
      <c r="B319" s="66">
        <v>80123</v>
      </c>
      <c r="C319" s="80" t="s">
        <v>513</v>
      </c>
      <c r="D319" s="67">
        <f>D320+D321</f>
        <v>1200</v>
      </c>
      <c r="E319" s="190">
        <f>E320+E321</f>
        <v>1200</v>
      </c>
      <c r="F319" s="190">
        <f>F320+F321</f>
        <v>1102</v>
      </c>
      <c r="G319" s="270">
        <f t="shared" si="18"/>
        <v>0.9183333333333333</v>
      </c>
      <c r="H319" s="69"/>
    </row>
    <row r="320" spans="1:8" ht="19.5" customHeight="1">
      <c r="A320" s="38"/>
      <c r="B320" s="271"/>
      <c r="C320" s="150" t="s">
        <v>382</v>
      </c>
      <c r="D320" s="94">
        <v>520</v>
      </c>
      <c r="E320" s="94">
        <v>520</v>
      </c>
      <c r="F320" s="94">
        <v>455</v>
      </c>
      <c r="G320" s="95">
        <f t="shared" si="18"/>
        <v>0.875</v>
      </c>
      <c r="H320" s="130"/>
    </row>
    <row r="321" spans="1:8" ht="40.5" customHeight="1">
      <c r="A321" s="38"/>
      <c r="B321" s="126"/>
      <c r="C321" s="166" t="s">
        <v>343</v>
      </c>
      <c r="D321" s="184">
        <v>680</v>
      </c>
      <c r="E321" s="272">
        <v>680</v>
      </c>
      <c r="F321" s="184">
        <v>647</v>
      </c>
      <c r="G321" s="185">
        <f t="shared" si="18"/>
        <v>0.9514705882352941</v>
      </c>
      <c r="H321" s="308"/>
    </row>
    <row r="322" spans="1:8" ht="19.5" customHeight="1">
      <c r="A322" s="89"/>
      <c r="B322" s="66">
        <v>80130</v>
      </c>
      <c r="C322" s="80" t="s">
        <v>514</v>
      </c>
      <c r="D322" s="81">
        <f>D323+D324+D325</f>
        <v>102000</v>
      </c>
      <c r="E322" s="82">
        <f>E323+E324+E325</f>
        <v>102000</v>
      </c>
      <c r="F322" s="82">
        <f>F323+F324+F325</f>
        <v>72200</v>
      </c>
      <c r="G322" s="83">
        <f t="shared" si="18"/>
        <v>0.707843137254902</v>
      </c>
      <c r="H322" s="69"/>
    </row>
    <row r="323" spans="1:8" ht="19.5" customHeight="1">
      <c r="A323" s="403"/>
      <c r="B323" s="38"/>
      <c r="C323" s="150" t="s">
        <v>382</v>
      </c>
      <c r="D323" s="151">
        <v>70000</v>
      </c>
      <c r="E323" s="239">
        <v>70000</v>
      </c>
      <c r="F323" s="239">
        <v>29724</v>
      </c>
      <c r="G323" s="240">
        <f t="shared" si="18"/>
        <v>0.4246285714285714</v>
      </c>
      <c r="H323" s="130"/>
    </row>
    <row r="324" spans="1:8" ht="42.75" customHeight="1">
      <c r="A324" s="38"/>
      <c r="B324" s="39"/>
      <c r="C324" s="122" t="s">
        <v>343</v>
      </c>
      <c r="D324" s="119">
        <v>22000</v>
      </c>
      <c r="E324" s="119">
        <v>22000</v>
      </c>
      <c r="F324" s="119">
        <v>7620</v>
      </c>
      <c r="G324" s="120">
        <f t="shared" si="18"/>
        <v>0.3463636363636364</v>
      </c>
      <c r="H324" s="136"/>
    </row>
    <row r="325" spans="1:8" ht="19.5" customHeight="1">
      <c r="A325" s="38"/>
      <c r="B325" s="126"/>
      <c r="C325" s="86" t="s">
        <v>331</v>
      </c>
      <c r="D325" s="184">
        <v>10000</v>
      </c>
      <c r="E325" s="184">
        <v>10000</v>
      </c>
      <c r="F325" s="184">
        <v>34856</v>
      </c>
      <c r="G325" s="185">
        <f t="shared" si="18"/>
        <v>3.4856</v>
      </c>
      <c r="H325" s="130"/>
    </row>
    <row r="326" spans="1:8" ht="19.5" customHeight="1">
      <c r="A326" s="89"/>
      <c r="B326" s="66">
        <v>80132</v>
      </c>
      <c r="C326" s="79" t="s">
        <v>515</v>
      </c>
      <c r="D326" s="81">
        <f>D327+D328</f>
        <v>3800</v>
      </c>
      <c r="E326" s="82">
        <f>E327+E328</f>
        <v>3800</v>
      </c>
      <c r="F326" s="82">
        <f>F327+F328</f>
        <v>2418</v>
      </c>
      <c r="G326" s="83">
        <f t="shared" si="18"/>
        <v>0.6363157894736842</v>
      </c>
      <c r="H326" s="484"/>
    </row>
    <row r="327" spans="1:8" ht="19.5" customHeight="1">
      <c r="A327" s="89"/>
      <c r="B327" s="279"/>
      <c r="C327" s="93" t="s">
        <v>382</v>
      </c>
      <c r="D327" s="151">
        <v>3000</v>
      </c>
      <c r="E327" s="151">
        <v>3000</v>
      </c>
      <c r="F327" s="151">
        <v>1719</v>
      </c>
      <c r="G327" s="152">
        <f t="shared" si="18"/>
        <v>0.573</v>
      </c>
      <c r="H327" s="484"/>
    </row>
    <row r="328" spans="1:8" ht="39.75" customHeight="1">
      <c r="A328" s="50"/>
      <c r="B328" s="126"/>
      <c r="C328" s="166" t="s">
        <v>343</v>
      </c>
      <c r="D328" s="184">
        <v>800</v>
      </c>
      <c r="E328" s="184">
        <v>800</v>
      </c>
      <c r="F328" s="184">
        <v>699</v>
      </c>
      <c r="G328" s="185">
        <f t="shared" si="18"/>
        <v>0.87375</v>
      </c>
      <c r="H328" s="226"/>
    </row>
    <row r="329" ht="14.25" customHeight="1"/>
    <row r="330" spans="1:8" ht="19.5" customHeight="1">
      <c r="A330" s="38"/>
      <c r="B330" s="66">
        <v>80134</v>
      </c>
      <c r="C330" s="80" t="s">
        <v>516</v>
      </c>
      <c r="D330" s="81">
        <f>D331</f>
        <v>830</v>
      </c>
      <c r="E330" s="82">
        <f>E331</f>
        <v>830</v>
      </c>
      <c r="F330" s="82">
        <f>SUM(F331:F332)</f>
        <v>1071</v>
      </c>
      <c r="G330" s="83">
        <f>F330/E330</f>
        <v>1.2903614457831325</v>
      </c>
      <c r="H330" s="130"/>
    </row>
    <row r="331" spans="1:8" ht="40.5" customHeight="1">
      <c r="A331" s="38"/>
      <c r="B331" s="97"/>
      <c r="C331" s="234" t="s">
        <v>343</v>
      </c>
      <c r="D331" s="40">
        <v>830</v>
      </c>
      <c r="E331" s="40">
        <v>830</v>
      </c>
      <c r="F331" s="40">
        <v>743</v>
      </c>
      <c r="G331" s="41">
        <f>F331/E331</f>
        <v>0.8951807228915662</v>
      </c>
      <c r="H331" s="308"/>
    </row>
    <row r="332" spans="1:8" ht="19.5" customHeight="1">
      <c r="A332" s="38"/>
      <c r="B332" s="126"/>
      <c r="C332" s="166" t="s">
        <v>331</v>
      </c>
      <c r="D332" s="224"/>
      <c r="E332" s="224"/>
      <c r="F332" s="224">
        <v>328</v>
      </c>
      <c r="G332" s="225"/>
      <c r="H332" s="136"/>
    </row>
    <row r="333" spans="1:8" ht="25.5" customHeight="1">
      <c r="A333" s="38"/>
      <c r="B333" s="491">
        <v>80140</v>
      </c>
      <c r="C333" s="80" t="s">
        <v>517</v>
      </c>
      <c r="D333" s="81">
        <f>D334+D335</f>
        <v>11700</v>
      </c>
      <c r="E333" s="82">
        <f>E334+E335</f>
        <v>11700</v>
      </c>
      <c r="F333" s="82">
        <f>F334+F335+F336</f>
        <v>7479</v>
      </c>
      <c r="G333" s="83">
        <f>F333/E333</f>
        <v>0.6392307692307693</v>
      </c>
      <c r="H333" s="130"/>
    </row>
    <row r="334" spans="1:8" ht="19.5" customHeight="1">
      <c r="A334" s="38"/>
      <c r="B334" s="492"/>
      <c r="C334" s="118" t="s">
        <v>382</v>
      </c>
      <c r="D334" s="119">
        <v>10000</v>
      </c>
      <c r="E334" s="119">
        <v>10000</v>
      </c>
      <c r="F334" s="119">
        <v>5345</v>
      </c>
      <c r="G334" s="120">
        <f>F334/E334</f>
        <v>0.5345</v>
      </c>
      <c r="H334" s="130"/>
    </row>
    <row r="335" spans="1:8" ht="39" customHeight="1">
      <c r="A335" s="38"/>
      <c r="B335" s="97"/>
      <c r="C335" s="156" t="s">
        <v>343</v>
      </c>
      <c r="D335" s="196">
        <v>1700</v>
      </c>
      <c r="E335" s="196">
        <v>1700</v>
      </c>
      <c r="F335" s="196">
        <v>1510</v>
      </c>
      <c r="G335" s="493">
        <f>F335/E335</f>
        <v>0.888235294117647</v>
      </c>
      <c r="H335" s="130"/>
    </row>
    <row r="336" spans="1:8" ht="19.5" customHeight="1">
      <c r="A336" s="38"/>
      <c r="B336" s="126"/>
      <c r="C336" s="173" t="s">
        <v>331</v>
      </c>
      <c r="D336" s="184"/>
      <c r="E336" s="184"/>
      <c r="F336" s="184">
        <v>624</v>
      </c>
      <c r="G336" s="185"/>
      <c r="H336" s="130"/>
    </row>
    <row r="337" spans="1:9" s="149" customFormat="1" ht="19.5" customHeight="1">
      <c r="A337" s="89"/>
      <c r="B337" s="65">
        <v>80197</v>
      </c>
      <c r="C337" s="79" t="s">
        <v>518</v>
      </c>
      <c r="D337" s="67"/>
      <c r="E337" s="67"/>
      <c r="F337" s="67">
        <f>F338</f>
        <v>29133</v>
      </c>
      <c r="G337" s="68"/>
      <c r="H337" s="69"/>
      <c r="I337" s="148"/>
    </row>
    <row r="338" spans="1:8" ht="19.5" customHeight="1">
      <c r="A338" s="38"/>
      <c r="B338" s="126"/>
      <c r="C338" s="173" t="s">
        <v>519</v>
      </c>
      <c r="D338" s="184"/>
      <c r="E338" s="184"/>
      <c r="F338" s="184">
        <v>29133</v>
      </c>
      <c r="G338" s="185"/>
      <c r="H338" s="130"/>
    </row>
    <row r="339" spans="1:8" ht="19.5" customHeight="1">
      <c r="A339" s="137">
        <v>853</v>
      </c>
      <c r="B339" s="58"/>
      <c r="C339" s="58" t="s">
        <v>395</v>
      </c>
      <c r="D339" s="227">
        <f>D340+D345+D350+D353+D356</f>
        <v>2737540</v>
      </c>
      <c r="E339" s="228">
        <f>E340+E345+E350+E353+E356</f>
        <v>2737540</v>
      </c>
      <c r="F339" s="228">
        <f>F340+F345+F350+F353+F356</f>
        <v>2842229</v>
      </c>
      <c r="G339" s="229">
        <f aca="true" t="shared" si="19" ref="G339:G351">F339/E339</f>
        <v>1.0382419982904358</v>
      </c>
      <c r="H339" s="143"/>
    </row>
    <row r="340" spans="1:8" ht="19.5" customHeight="1">
      <c r="A340" s="89"/>
      <c r="B340" s="66">
        <v>85301</v>
      </c>
      <c r="C340" s="66" t="s">
        <v>520</v>
      </c>
      <c r="D340" s="67">
        <f>D341+D342+D343+D344</f>
        <v>37260</v>
      </c>
      <c r="E340" s="190">
        <f>E341+E342+E343+E344</f>
        <v>37260</v>
      </c>
      <c r="F340" s="190">
        <f>F341+F342+F343+F344</f>
        <v>18263</v>
      </c>
      <c r="G340" s="270">
        <f t="shared" si="19"/>
        <v>0.490150295222759</v>
      </c>
      <c r="H340" s="69"/>
    </row>
    <row r="341" spans="1:17" s="7" customFormat="1" ht="19.5" customHeight="1">
      <c r="A341" s="38"/>
      <c r="B341" s="92"/>
      <c r="C341" s="150" t="s">
        <v>521</v>
      </c>
      <c r="D341" s="151">
        <v>22300</v>
      </c>
      <c r="E341" s="151">
        <v>22300</v>
      </c>
      <c r="F341" s="151">
        <v>12317</v>
      </c>
      <c r="G341" s="152">
        <f t="shared" si="19"/>
        <v>0.5523318385650224</v>
      </c>
      <c r="H341" s="258"/>
      <c r="I341" s="296"/>
      <c r="J341" s="297"/>
      <c r="K341" s="297"/>
      <c r="L341" s="297"/>
      <c r="M341" s="297"/>
      <c r="N341" s="297"/>
      <c r="O341" s="297"/>
      <c r="P341" s="297"/>
      <c r="Q341" s="297"/>
    </row>
    <row r="342" spans="1:9" s="7" customFormat="1" ht="19.5" customHeight="1">
      <c r="A342" s="38"/>
      <c r="B342" s="97"/>
      <c r="C342" s="118" t="s">
        <v>382</v>
      </c>
      <c r="D342" s="119">
        <v>11820</v>
      </c>
      <c r="E342" s="119">
        <v>11820</v>
      </c>
      <c r="F342" s="119">
        <v>3173</v>
      </c>
      <c r="G342" s="120">
        <f t="shared" si="19"/>
        <v>0.26844331641285957</v>
      </c>
      <c r="H342" s="494"/>
      <c r="I342" s="6"/>
    </row>
    <row r="343" spans="1:9" s="7" customFormat="1" ht="38.25" customHeight="1">
      <c r="A343" s="38"/>
      <c r="B343" s="97"/>
      <c r="C343" s="122" t="s">
        <v>343</v>
      </c>
      <c r="D343" s="119">
        <v>1960</v>
      </c>
      <c r="E343" s="119">
        <v>1960</v>
      </c>
      <c r="F343" s="119">
        <v>1098</v>
      </c>
      <c r="G343" s="120">
        <f t="shared" si="19"/>
        <v>0.560204081632653</v>
      </c>
      <c r="H343" s="495"/>
      <c r="I343" s="6"/>
    </row>
    <row r="344" spans="1:9" s="7" customFormat="1" ht="19.5" customHeight="1">
      <c r="A344" s="38"/>
      <c r="B344" s="126"/>
      <c r="C344" s="86" t="s">
        <v>522</v>
      </c>
      <c r="D344" s="87">
        <v>1180</v>
      </c>
      <c r="E344" s="87">
        <v>1180</v>
      </c>
      <c r="F344" s="87">
        <v>1675</v>
      </c>
      <c r="G344" s="88">
        <f t="shared" si="19"/>
        <v>1.4194915254237288</v>
      </c>
      <c r="H344" s="258"/>
      <c r="I344" s="6"/>
    </row>
    <row r="345" spans="1:9" s="7" customFormat="1" ht="19.5" customHeight="1">
      <c r="A345" s="89"/>
      <c r="B345" s="66">
        <v>85302</v>
      </c>
      <c r="C345" s="66" t="s">
        <v>523</v>
      </c>
      <c r="D345" s="67">
        <f>D346+D347+D348+D349</f>
        <v>2685800</v>
      </c>
      <c r="E345" s="190">
        <f>E346+E347+E348+E349</f>
        <v>2685800</v>
      </c>
      <c r="F345" s="190">
        <f>F346+F347+F348+F349</f>
        <v>2796008</v>
      </c>
      <c r="G345" s="270">
        <f t="shared" si="19"/>
        <v>1.0410335840345522</v>
      </c>
      <c r="H345" s="484"/>
      <c r="I345" s="6"/>
    </row>
    <row r="346" spans="1:9" s="7" customFormat="1" ht="19.5" customHeight="1">
      <c r="A346" s="38"/>
      <c r="B346" s="92"/>
      <c r="C346" s="150" t="s">
        <v>524</v>
      </c>
      <c r="D346" s="151">
        <v>2650000</v>
      </c>
      <c r="E346" s="239">
        <v>2650000</v>
      </c>
      <c r="F346" s="239">
        <v>2758504</v>
      </c>
      <c r="G346" s="240">
        <f t="shared" si="19"/>
        <v>1.0409449056603775</v>
      </c>
      <c r="H346" s="496"/>
      <c r="I346" s="6"/>
    </row>
    <row r="347" spans="1:9" s="7" customFormat="1" ht="19.5" customHeight="1">
      <c r="A347" s="38"/>
      <c r="B347" s="97"/>
      <c r="C347" s="103" t="s">
        <v>382</v>
      </c>
      <c r="D347" s="99">
        <v>33000</v>
      </c>
      <c r="E347" s="99">
        <v>33000</v>
      </c>
      <c r="F347" s="99">
        <v>18692</v>
      </c>
      <c r="G347" s="100">
        <f t="shared" si="19"/>
        <v>0.5664242424242424</v>
      </c>
      <c r="H347" s="253"/>
      <c r="I347" s="6"/>
    </row>
    <row r="348" spans="1:9" s="7" customFormat="1" ht="38.25" customHeight="1">
      <c r="A348" s="38"/>
      <c r="B348" s="97"/>
      <c r="C348" s="122" t="s">
        <v>343</v>
      </c>
      <c r="D348" s="119">
        <v>2120</v>
      </c>
      <c r="E348" s="119">
        <v>2120</v>
      </c>
      <c r="F348" s="119">
        <v>1763</v>
      </c>
      <c r="G348" s="120">
        <f t="shared" si="19"/>
        <v>0.8316037735849057</v>
      </c>
      <c r="H348" s="494"/>
      <c r="I348" s="6"/>
    </row>
    <row r="349" spans="1:9" s="7" customFormat="1" ht="19.5" customHeight="1">
      <c r="A349" s="38"/>
      <c r="B349" s="126"/>
      <c r="C349" s="86" t="s">
        <v>522</v>
      </c>
      <c r="D349" s="87">
        <v>680</v>
      </c>
      <c r="E349" s="87">
        <v>680</v>
      </c>
      <c r="F349" s="87">
        <v>17049</v>
      </c>
      <c r="G349" s="88">
        <f t="shared" si="19"/>
        <v>25.07205882352941</v>
      </c>
      <c r="H349" s="253"/>
      <c r="I349" s="6"/>
    </row>
    <row r="350" spans="1:9" s="149" customFormat="1" ht="18.75" customHeight="1">
      <c r="A350" s="89"/>
      <c r="B350" s="65">
        <v>85304</v>
      </c>
      <c r="C350" s="66" t="s">
        <v>525</v>
      </c>
      <c r="D350" s="212">
        <f>D351</f>
        <v>11000</v>
      </c>
      <c r="E350" s="213">
        <f>E351</f>
        <v>11000</v>
      </c>
      <c r="F350" s="213">
        <f>F351+F352</f>
        <v>26449</v>
      </c>
      <c r="G350" s="214">
        <f t="shared" si="19"/>
        <v>2.4044545454545454</v>
      </c>
      <c r="H350" s="489"/>
      <c r="I350" s="148"/>
    </row>
    <row r="351" spans="1:9" s="7" customFormat="1" ht="19.5" customHeight="1">
      <c r="A351" s="38"/>
      <c r="B351" s="92"/>
      <c r="C351" s="192" t="s">
        <v>526</v>
      </c>
      <c r="D351" s="497">
        <v>11000</v>
      </c>
      <c r="E351" s="497">
        <v>11000</v>
      </c>
      <c r="F351" s="497">
        <v>20803</v>
      </c>
      <c r="G351" s="498">
        <f t="shared" si="19"/>
        <v>1.891181818181818</v>
      </c>
      <c r="H351" s="253"/>
      <c r="I351" s="6"/>
    </row>
    <row r="352" spans="1:9" s="7" customFormat="1" ht="19.5" customHeight="1">
      <c r="A352" s="38"/>
      <c r="B352" s="126"/>
      <c r="C352" s="51" t="s">
        <v>331</v>
      </c>
      <c r="D352" s="210"/>
      <c r="E352" s="210"/>
      <c r="F352" s="210">
        <v>5646</v>
      </c>
      <c r="G352" s="211"/>
      <c r="H352" s="253"/>
      <c r="I352" s="6"/>
    </row>
    <row r="353" spans="1:9" s="7" customFormat="1" ht="19.5" customHeight="1">
      <c r="A353" s="89"/>
      <c r="B353" s="66">
        <v>85326</v>
      </c>
      <c r="C353" s="80" t="s">
        <v>527</v>
      </c>
      <c r="D353" s="81">
        <f>D354+D355</f>
        <v>1190</v>
      </c>
      <c r="E353" s="82">
        <f>E354+E355</f>
        <v>1190</v>
      </c>
      <c r="F353" s="82">
        <f>F354+F355</f>
        <v>335</v>
      </c>
      <c r="G353" s="83">
        <f aca="true" t="shared" si="20" ref="G353:G358">F353/E353</f>
        <v>0.2815126050420168</v>
      </c>
      <c r="H353" s="484"/>
      <c r="I353" s="6"/>
    </row>
    <row r="354" spans="1:256" s="7" customFormat="1" ht="19.5" customHeight="1">
      <c r="A354" s="186"/>
      <c r="B354" s="178"/>
      <c r="C354" s="275" t="s">
        <v>382</v>
      </c>
      <c r="D354" s="72">
        <v>840</v>
      </c>
      <c r="E354" s="72">
        <v>840</v>
      </c>
      <c r="F354" s="72">
        <v>299</v>
      </c>
      <c r="G354" s="73">
        <f t="shared" si="20"/>
        <v>0.35595238095238096</v>
      </c>
      <c r="H354" s="499"/>
      <c r="I354" s="6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  <c r="IL354" s="8"/>
      <c r="IM354" s="8"/>
      <c r="IN354" s="8"/>
      <c r="IO354" s="8"/>
      <c r="IP354" s="8"/>
      <c r="IQ354" s="8"/>
      <c r="IR354" s="8"/>
      <c r="IS354" s="8"/>
      <c r="IT354" s="8"/>
      <c r="IU354" s="8"/>
      <c r="IV354" s="8"/>
    </row>
    <row r="355" spans="1:256" s="7" customFormat="1" ht="39" customHeight="1">
      <c r="A355" s="38"/>
      <c r="B355" s="126"/>
      <c r="C355" s="173" t="s">
        <v>343</v>
      </c>
      <c r="D355" s="184">
        <v>350</v>
      </c>
      <c r="E355" s="184">
        <v>350</v>
      </c>
      <c r="F355" s="184">
        <v>36</v>
      </c>
      <c r="G355" s="185">
        <f t="shared" si="20"/>
        <v>0.10285714285714286</v>
      </c>
      <c r="H355" s="136"/>
      <c r="I355" s="6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  <c r="IR355" s="8"/>
      <c r="IS355" s="8"/>
      <c r="IT355" s="8"/>
      <c r="IU355" s="8"/>
      <c r="IV355" s="8"/>
    </row>
    <row r="356" spans="1:256" s="7" customFormat="1" ht="19.5" customHeight="1">
      <c r="A356" s="89"/>
      <c r="B356" s="66">
        <v>85333</v>
      </c>
      <c r="C356" s="80" t="s">
        <v>528</v>
      </c>
      <c r="D356" s="81">
        <f>D357+D358</f>
        <v>2290</v>
      </c>
      <c r="E356" s="82">
        <f>E357+E358</f>
        <v>2290</v>
      </c>
      <c r="F356" s="82">
        <f>F357+F358+F359</f>
        <v>1174</v>
      </c>
      <c r="G356" s="83">
        <f t="shared" si="20"/>
        <v>0.5126637554585153</v>
      </c>
      <c r="H356" s="84"/>
      <c r="I356" s="6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  <c r="IR356" s="8"/>
      <c r="IS356" s="8"/>
      <c r="IT356" s="8"/>
      <c r="IU356" s="8"/>
      <c r="IV356" s="8"/>
    </row>
    <row r="357" spans="1:8" ht="19.5" customHeight="1">
      <c r="A357" s="89"/>
      <c r="B357" s="279"/>
      <c r="C357" s="150" t="s">
        <v>382</v>
      </c>
      <c r="D357" s="151">
        <v>1900</v>
      </c>
      <c r="E357" s="151">
        <v>1900</v>
      </c>
      <c r="F357" s="151">
        <v>644</v>
      </c>
      <c r="G357" s="152">
        <f t="shared" si="20"/>
        <v>0.3389473684210526</v>
      </c>
      <c r="H357" s="84"/>
    </row>
    <row r="358" spans="1:8" ht="39" customHeight="1">
      <c r="A358" s="38"/>
      <c r="B358" s="97"/>
      <c r="C358" s="234" t="s">
        <v>343</v>
      </c>
      <c r="D358" s="449">
        <v>390</v>
      </c>
      <c r="E358" s="449">
        <v>390</v>
      </c>
      <c r="F358" s="449">
        <v>393</v>
      </c>
      <c r="G358" s="450">
        <f t="shared" si="20"/>
        <v>1.0076923076923077</v>
      </c>
      <c r="H358" s="253"/>
    </row>
    <row r="359" spans="1:8" ht="19.5" customHeight="1">
      <c r="A359" s="50"/>
      <c r="B359" s="126"/>
      <c r="C359" s="166" t="s">
        <v>331</v>
      </c>
      <c r="D359" s="454"/>
      <c r="E359" s="454"/>
      <c r="F359" s="454">
        <v>137</v>
      </c>
      <c r="G359" s="455"/>
      <c r="H359" s="253"/>
    </row>
    <row r="360" spans="1:8" ht="19.5" customHeight="1">
      <c r="A360" s="75">
        <v>854</v>
      </c>
      <c r="B360" s="59"/>
      <c r="C360" s="76" t="s">
        <v>408</v>
      </c>
      <c r="D360" s="60">
        <f>SUM(D361+D366+D369+D373+D378+D382)</f>
        <v>967740</v>
      </c>
      <c r="E360" s="61">
        <f>SUM(E361+E366+E369+E373+E378+E382)</f>
        <v>967740</v>
      </c>
      <c r="F360" s="61">
        <f>SUM(F361+F366+F369+F373+F378+F382)</f>
        <v>880721</v>
      </c>
      <c r="G360" s="77">
        <f>F360/E360</f>
        <v>0.9100801868270403</v>
      </c>
      <c r="H360" s="63"/>
    </row>
    <row r="361" spans="1:8" ht="19.5" customHeight="1">
      <c r="A361" s="78"/>
      <c r="B361" s="178">
        <v>85403</v>
      </c>
      <c r="C361" s="90" t="s">
        <v>529</v>
      </c>
      <c r="D361" s="179">
        <f>SUM(D362:D364)</f>
        <v>296500</v>
      </c>
      <c r="E361" s="180">
        <f>SUM(E362:E364)</f>
        <v>296500</v>
      </c>
      <c r="F361" s="180">
        <f>SUM(F362:F365)</f>
        <v>297865</v>
      </c>
      <c r="G361" s="235">
        <f>F361/E361</f>
        <v>1.0046037099494098</v>
      </c>
      <c r="H361" s="84"/>
    </row>
    <row r="362" spans="1:8" ht="19.5" customHeight="1">
      <c r="A362" s="105"/>
      <c r="B362" s="97"/>
      <c r="C362" s="93" t="s">
        <v>530</v>
      </c>
      <c r="D362" s="497">
        <v>280000</v>
      </c>
      <c r="E362" s="497">
        <v>280000</v>
      </c>
      <c r="F362" s="497">
        <v>289542</v>
      </c>
      <c r="G362" s="500">
        <f>F362/E362</f>
        <v>1.0340785714285714</v>
      </c>
      <c r="H362" s="104"/>
    </row>
    <row r="363" spans="1:8" ht="19.5" customHeight="1">
      <c r="A363" s="105"/>
      <c r="B363" s="97"/>
      <c r="C363" s="156" t="s">
        <v>382</v>
      </c>
      <c r="D363" s="203">
        <v>15000</v>
      </c>
      <c r="E363" s="203">
        <v>15000</v>
      </c>
      <c r="F363" s="203">
        <v>6482</v>
      </c>
      <c r="G363" s="209">
        <f>F363/E363</f>
        <v>0.4321333333333333</v>
      </c>
      <c r="H363" s="501"/>
    </row>
    <row r="364" spans="1:8" ht="39" customHeight="1">
      <c r="A364" s="105"/>
      <c r="B364" s="97"/>
      <c r="C364" s="234" t="s">
        <v>343</v>
      </c>
      <c r="D364" s="449">
        <v>1500</v>
      </c>
      <c r="E364" s="449">
        <v>1500</v>
      </c>
      <c r="F364" s="449">
        <v>1414</v>
      </c>
      <c r="G364" s="450">
        <f>F364/E364</f>
        <v>0.9426666666666667</v>
      </c>
      <c r="H364" s="165"/>
    </row>
    <row r="365" spans="1:8" ht="19.5" customHeight="1">
      <c r="A365" s="105"/>
      <c r="B365" s="126"/>
      <c r="C365" s="166" t="s">
        <v>331</v>
      </c>
      <c r="D365" s="454"/>
      <c r="E365" s="454"/>
      <c r="F365" s="454">
        <v>427</v>
      </c>
      <c r="G365" s="455"/>
      <c r="H365" s="165"/>
    </row>
    <row r="366" spans="1:8" ht="19.5" customHeight="1">
      <c r="A366" s="78"/>
      <c r="B366" s="66">
        <v>85406</v>
      </c>
      <c r="C366" s="79" t="s">
        <v>531</v>
      </c>
      <c r="D366" s="81">
        <f>D367+D368</f>
        <v>6700</v>
      </c>
      <c r="E366" s="82">
        <f>E367+E368</f>
        <v>6700</v>
      </c>
      <c r="F366" s="82">
        <f>F367+F368</f>
        <v>2823</v>
      </c>
      <c r="G366" s="83">
        <f aca="true" t="shared" si="21" ref="G366:G371">F366/E366</f>
        <v>0.42134328358208956</v>
      </c>
      <c r="H366" s="84"/>
    </row>
    <row r="367" spans="1:8" ht="19.5" customHeight="1">
      <c r="A367" s="78"/>
      <c r="B367" s="279"/>
      <c r="C367" s="122" t="s">
        <v>382</v>
      </c>
      <c r="D367" s="119">
        <v>6300</v>
      </c>
      <c r="E367" s="119">
        <v>6300</v>
      </c>
      <c r="F367" s="119">
        <v>2125</v>
      </c>
      <c r="G367" s="120">
        <f t="shared" si="21"/>
        <v>0.3373015873015873</v>
      </c>
      <c r="H367" s="490"/>
    </row>
    <row r="368" spans="1:8" ht="39.75" customHeight="1">
      <c r="A368" s="78"/>
      <c r="B368" s="126"/>
      <c r="C368" s="166" t="s">
        <v>343</v>
      </c>
      <c r="D368" s="454">
        <v>400</v>
      </c>
      <c r="E368" s="454">
        <v>400</v>
      </c>
      <c r="F368" s="454">
        <v>698</v>
      </c>
      <c r="G368" s="455">
        <f t="shared" si="21"/>
        <v>1.745</v>
      </c>
      <c r="H368" s="502"/>
    </row>
    <row r="369" spans="1:8" ht="19.5" customHeight="1">
      <c r="A369" s="89"/>
      <c r="B369" s="66">
        <v>85407</v>
      </c>
      <c r="C369" s="79" t="s">
        <v>532</v>
      </c>
      <c r="D369" s="81">
        <f>D370+D371</f>
        <v>2520</v>
      </c>
      <c r="E369" s="82">
        <f>E370+E371</f>
        <v>2520</v>
      </c>
      <c r="F369" s="82">
        <f>F370+F371+F372</f>
        <v>2036</v>
      </c>
      <c r="G369" s="83">
        <f t="shared" si="21"/>
        <v>0.807936507936508</v>
      </c>
      <c r="H369" s="484"/>
    </row>
    <row r="370" spans="1:8" ht="18.75" customHeight="1">
      <c r="A370" s="38"/>
      <c r="B370" s="271"/>
      <c r="C370" s="313" t="s">
        <v>382</v>
      </c>
      <c r="D370" s="417">
        <v>2100</v>
      </c>
      <c r="E370" s="417">
        <v>2100</v>
      </c>
      <c r="F370" s="417">
        <v>1191</v>
      </c>
      <c r="G370" s="418">
        <f t="shared" si="21"/>
        <v>0.5671428571428572</v>
      </c>
      <c r="H370" s="258"/>
    </row>
    <row r="371" spans="1:8" ht="38.25" customHeight="1">
      <c r="A371" s="89"/>
      <c r="B371" s="97"/>
      <c r="C371" s="156" t="s">
        <v>343</v>
      </c>
      <c r="D371" s="203">
        <v>420</v>
      </c>
      <c r="E371" s="204">
        <v>420</v>
      </c>
      <c r="F371" s="204">
        <v>358</v>
      </c>
      <c r="G371" s="205">
        <f t="shared" si="21"/>
        <v>0.8523809523809524</v>
      </c>
      <c r="H371" s="503"/>
    </row>
    <row r="372" spans="1:8" ht="19.5" customHeight="1">
      <c r="A372" s="89"/>
      <c r="B372" s="126"/>
      <c r="C372" s="173" t="s">
        <v>533</v>
      </c>
      <c r="D372" s="210"/>
      <c r="E372" s="210"/>
      <c r="F372" s="210">
        <v>487</v>
      </c>
      <c r="G372" s="211"/>
      <c r="H372" s="258"/>
    </row>
    <row r="373" spans="1:8" ht="19.5" customHeight="1">
      <c r="A373" s="89"/>
      <c r="B373" s="66">
        <v>85410</v>
      </c>
      <c r="C373" s="79" t="s">
        <v>534</v>
      </c>
      <c r="D373" s="81">
        <f>D374+D375+D376+D377</f>
        <v>513740</v>
      </c>
      <c r="E373" s="82">
        <f>E374+E375+E376+E377</f>
        <v>513740</v>
      </c>
      <c r="F373" s="82">
        <f>F374+F375+F376+F377</f>
        <v>443531</v>
      </c>
      <c r="G373" s="83">
        <f aca="true" t="shared" si="22" ref="G373:G384">F373/E373</f>
        <v>0.8633374858878031</v>
      </c>
      <c r="H373" s="484"/>
    </row>
    <row r="374" spans="1:8" ht="19.5" customHeight="1">
      <c r="A374" s="38"/>
      <c r="B374" s="92"/>
      <c r="C374" s="93" t="s">
        <v>535</v>
      </c>
      <c r="D374" s="497">
        <v>500000</v>
      </c>
      <c r="E374" s="497">
        <v>500000</v>
      </c>
      <c r="F374" s="497">
        <v>438472</v>
      </c>
      <c r="G374" s="500">
        <f t="shared" si="22"/>
        <v>0.876944</v>
      </c>
      <c r="H374" s="496"/>
    </row>
    <row r="375" spans="1:8" ht="19.5" customHeight="1">
      <c r="A375" s="38"/>
      <c r="B375" s="97"/>
      <c r="C375" s="122" t="s">
        <v>382</v>
      </c>
      <c r="D375" s="207">
        <v>11000</v>
      </c>
      <c r="E375" s="207">
        <v>11000</v>
      </c>
      <c r="F375" s="504">
        <v>4056</v>
      </c>
      <c r="G375" s="208">
        <f t="shared" si="22"/>
        <v>0.36872727272727274</v>
      </c>
      <c r="H375" s="451"/>
    </row>
    <row r="376" spans="1:8" ht="40.5" customHeight="1">
      <c r="A376" s="38"/>
      <c r="B376" s="97"/>
      <c r="C376" s="156" t="s">
        <v>343</v>
      </c>
      <c r="D376" s="203">
        <v>1370</v>
      </c>
      <c r="E376" s="203">
        <v>1370</v>
      </c>
      <c r="F376" s="203">
        <v>835</v>
      </c>
      <c r="G376" s="209">
        <f t="shared" si="22"/>
        <v>0.6094890510948905</v>
      </c>
      <c r="H376" s="258"/>
    </row>
    <row r="377" spans="1:8" ht="19.5" customHeight="1">
      <c r="A377" s="50"/>
      <c r="B377" s="126"/>
      <c r="C377" s="86" t="s">
        <v>522</v>
      </c>
      <c r="D377" s="210">
        <v>1370</v>
      </c>
      <c r="E377" s="210">
        <v>1370</v>
      </c>
      <c r="F377" s="210">
        <v>168</v>
      </c>
      <c r="G377" s="211">
        <f t="shared" si="22"/>
        <v>0.12262773722627737</v>
      </c>
      <c r="H377" s="258"/>
    </row>
    <row r="378" spans="1:8" ht="19.5" customHeight="1">
      <c r="A378" s="89"/>
      <c r="B378" s="66">
        <v>85417</v>
      </c>
      <c r="C378" s="79" t="s">
        <v>536</v>
      </c>
      <c r="D378" s="81">
        <f>D379+D380+D381</f>
        <v>147720</v>
      </c>
      <c r="E378" s="82">
        <f>E379+E380+E381</f>
        <v>147720</v>
      </c>
      <c r="F378" s="82">
        <f>F379+F380+F381</f>
        <v>134042</v>
      </c>
      <c r="G378" s="83">
        <f t="shared" si="22"/>
        <v>0.9074059030598429</v>
      </c>
      <c r="H378" s="84"/>
    </row>
    <row r="379" spans="1:8" ht="19.5" customHeight="1">
      <c r="A379" s="38"/>
      <c r="B379" s="271"/>
      <c r="C379" s="150" t="s">
        <v>537</v>
      </c>
      <c r="D379" s="497">
        <v>147000</v>
      </c>
      <c r="E379" s="497">
        <v>147000</v>
      </c>
      <c r="F379" s="497">
        <v>133488</v>
      </c>
      <c r="G379" s="500">
        <f t="shared" si="22"/>
        <v>0.9080816326530612</v>
      </c>
      <c r="H379" s="464"/>
    </row>
    <row r="380" spans="1:8" ht="19.5" customHeight="1">
      <c r="A380" s="38"/>
      <c r="B380" s="39"/>
      <c r="C380" s="103" t="s">
        <v>382</v>
      </c>
      <c r="D380" s="203">
        <v>680</v>
      </c>
      <c r="E380" s="203">
        <v>680</v>
      </c>
      <c r="F380" s="203">
        <v>524</v>
      </c>
      <c r="G380" s="209">
        <f t="shared" si="22"/>
        <v>0.7705882352941177</v>
      </c>
      <c r="H380" s="253"/>
    </row>
    <row r="381" spans="1:8" ht="37.5" customHeight="1">
      <c r="A381" s="38"/>
      <c r="B381" s="51"/>
      <c r="C381" s="173" t="s">
        <v>343</v>
      </c>
      <c r="D381" s="210">
        <v>40</v>
      </c>
      <c r="E381" s="210">
        <v>40</v>
      </c>
      <c r="F381" s="210">
        <v>30</v>
      </c>
      <c r="G381" s="211">
        <f t="shared" si="22"/>
        <v>0.75</v>
      </c>
      <c r="H381" s="253"/>
    </row>
    <row r="382" spans="1:8" ht="19.5" customHeight="1">
      <c r="A382" s="38"/>
      <c r="B382" s="66">
        <v>85495</v>
      </c>
      <c r="C382" s="80" t="s">
        <v>314</v>
      </c>
      <c r="D382" s="212">
        <f>D383+D384</f>
        <v>560</v>
      </c>
      <c r="E382" s="213">
        <f>E383+E384</f>
        <v>560</v>
      </c>
      <c r="F382" s="213">
        <f>F383+F384</f>
        <v>424</v>
      </c>
      <c r="G382" s="214">
        <f t="shared" si="22"/>
        <v>0.7571428571428571</v>
      </c>
      <c r="H382" s="258"/>
    </row>
    <row r="383" spans="1:8" ht="19.5" customHeight="1">
      <c r="A383" s="38"/>
      <c r="B383" s="39"/>
      <c r="C383" s="150" t="s">
        <v>382</v>
      </c>
      <c r="D383" s="497">
        <v>260</v>
      </c>
      <c r="E383" s="497">
        <v>260</v>
      </c>
      <c r="F383" s="497">
        <v>120</v>
      </c>
      <c r="G383" s="500">
        <f t="shared" si="22"/>
        <v>0.46153846153846156</v>
      </c>
      <c r="H383" s="451"/>
    </row>
    <row r="384" spans="1:9" ht="40.5" customHeight="1">
      <c r="A384" s="116"/>
      <c r="B384" s="39"/>
      <c r="C384" s="173" t="s">
        <v>343</v>
      </c>
      <c r="D384" s="217">
        <v>300</v>
      </c>
      <c r="E384" s="217">
        <v>300</v>
      </c>
      <c r="F384" s="217">
        <v>304</v>
      </c>
      <c r="G384" s="218">
        <f t="shared" si="22"/>
        <v>1.0133333333333334</v>
      </c>
      <c r="H384" s="505"/>
      <c r="I384" s="7"/>
    </row>
    <row r="385" spans="1:8" ht="5.25" customHeight="1" hidden="1">
      <c r="A385" s="38"/>
      <c r="B385" s="39"/>
      <c r="C385" s="234"/>
      <c r="D385" s="449"/>
      <c r="E385" s="449"/>
      <c r="F385" s="449"/>
      <c r="G385" s="450"/>
      <c r="H385" s="258"/>
    </row>
    <row r="386" spans="1:8" ht="18.75" customHeight="1" thickBot="1">
      <c r="A386" s="50"/>
      <c r="B386" s="51"/>
      <c r="C386" s="320" t="s">
        <v>423</v>
      </c>
      <c r="D386" s="506">
        <f>D387</f>
        <v>134739658</v>
      </c>
      <c r="E386" s="507">
        <f>E387</f>
        <v>139080858</v>
      </c>
      <c r="F386" s="507">
        <f>F387</f>
        <v>139080858</v>
      </c>
      <c r="G386" s="508">
        <f aca="true" t="shared" si="23" ref="G386:G414">F386/E386</f>
        <v>1</v>
      </c>
      <c r="H386" s="312"/>
    </row>
    <row r="387" spans="1:8" ht="19.5" customHeight="1" thickTop="1">
      <c r="A387" s="177">
        <v>758</v>
      </c>
      <c r="B387" s="58"/>
      <c r="C387" s="59" t="s">
        <v>380</v>
      </c>
      <c r="D387" s="60">
        <f>D388+D390+D392</f>
        <v>134739658</v>
      </c>
      <c r="E387" s="61">
        <f>E388+E390+E392</f>
        <v>139080858</v>
      </c>
      <c r="F387" s="61">
        <f>F388+F390+F392</f>
        <v>139080858</v>
      </c>
      <c r="G387" s="77">
        <f t="shared" si="23"/>
        <v>1</v>
      </c>
      <c r="H387" s="63"/>
    </row>
    <row r="388" spans="1:8" ht="19.5" customHeight="1">
      <c r="A388" s="64"/>
      <c r="B388" s="178">
        <v>75801</v>
      </c>
      <c r="C388" s="79" t="s">
        <v>426</v>
      </c>
      <c r="D388" s="81">
        <f>D389</f>
        <v>117997830</v>
      </c>
      <c r="E388" s="82">
        <f>E389</f>
        <v>118339030</v>
      </c>
      <c r="F388" s="82">
        <f>F389</f>
        <v>118339030</v>
      </c>
      <c r="G388" s="83">
        <f t="shared" si="23"/>
        <v>1</v>
      </c>
      <c r="H388" s="84"/>
    </row>
    <row r="389" spans="1:8" ht="19.5" customHeight="1">
      <c r="A389" s="38"/>
      <c r="B389" s="39"/>
      <c r="C389" s="313" t="s">
        <v>427</v>
      </c>
      <c r="D389" s="417">
        <v>117997830</v>
      </c>
      <c r="E389" s="417">
        <v>118339030</v>
      </c>
      <c r="F389" s="417">
        <v>118339030</v>
      </c>
      <c r="G389" s="418">
        <f t="shared" si="23"/>
        <v>1</v>
      </c>
      <c r="H389" s="183"/>
    </row>
    <row r="390" spans="1:8" ht="19.5" customHeight="1">
      <c r="A390" s="89"/>
      <c r="B390" s="178">
        <v>75803</v>
      </c>
      <c r="C390" s="90" t="s">
        <v>538</v>
      </c>
      <c r="D390" s="179">
        <f>D391</f>
        <v>3349263</v>
      </c>
      <c r="E390" s="180">
        <f>E391</f>
        <v>3349263</v>
      </c>
      <c r="F390" s="180">
        <f>F391</f>
        <v>3349263</v>
      </c>
      <c r="G390" s="181">
        <f t="shared" si="23"/>
        <v>1</v>
      </c>
      <c r="H390" s="172"/>
    </row>
    <row r="391" spans="1:8" ht="19.5" customHeight="1">
      <c r="A391" s="38"/>
      <c r="B391" s="51"/>
      <c r="C391" s="173" t="s">
        <v>539</v>
      </c>
      <c r="D391" s="87">
        <v>3349263</v>
      </c>
      <c r="E391" s="87">
        <v>3349263</v>
      </c>
      <c r="F391" s="87">
        <v>3349263</v>
      </c>
      <c r="G391" s="88">
        <f t="shared" si="23"/>
        <v>1</v>
      </c>
      <c r="H391" s="130"/>
    </row>
    <row r="392" spans="1:8" ht="19.5" customHeight="1">
      <c r="A392" s="89"/>
      <c r="B392" s="178">
        <v>75806</v>
      </c>
      <c r="C392" s="90" t="s">
        <v>540</v>
      </c>
      <c r="D392" s="179">
        <f>SUM(D393)</f>
        <v>13392565</v>
      </c>
      <c r="E392" s="180">
        <f>SUM(E393)</f>
        <v>17392565</v>
      </c>
      <c r="F392" s="180">
        <f>F393</f>
        <v>17392565</v>
      </c>
      <c r="G392" s="235">
        <f t="shared" si="23"/>
        <v>1</v>
      </c>
      <c r="H392" s="91"/>
    </row>
    <row r="393" spans="1:8" ht="19.5" customHeight="1">
      <c r="A393" s="38"/>
      <c r="B393" s="271"/>
      <c r="C393" s="71" t="s">
        <v>541</v>
      </c>
      <c r="D393" s="72">
        <v>13392565</v>
      </c>
      <c r="E393" s="72">
        <v>17392565</v>
      </c>
      <c r="F393" s="72">
        <v>17392565</v>
      </c>
      <c r="G393" s="73">
        <f t="shared" si="23"/>
        <v>1</v>
      </c>
      <c r="H393" s="183"/>
    </row>
    <row r="394" spans="1:8" ht="21" customHeight="1" thickBot="1">
      <c r="A394" s="190"/>
      <c r="B394" s="213"/>
      <c r="C394" s="509" t="s">
        <v>433</v>
      </c>
      <c r="D394" s="510">
        <f>D395+D401+D407+D423+D430</f>
        <v>20085000</v>
      </c>
      <c r="E394" s="511">
        <f>E395+E398+E401+E407+E423+E430</f>
        <v>25350804</v>
      </c>
      <c r="F394" s="511">
        <f>F395+F398+F401+F407+F423+F430</f>
        <v>25099123</v>
      </c>
      <c r="G394" s="512">
        <f t="shared" si="23"/>
        <v>0.9900720702980466</v>
      </c>
      <c r="H394" s="513"/>
    </row>
    <row r="395" spans="1:8" ht="19.5" customHeight="1" thickTop="1">
      <c r="A395" s="514" t="s">
        <v>542</v>
      </c>
      <c r="B395" s="515"/>
      <c r="C395" s="516" t="s">
        <v>543</v>
      </c>
      <c r="D395" s="517">
        <f>D396</f>
        <v>3000</v>
      </c>
      <c r="E395" s="518">
        <f>E396</f>
        <v>3000</v>
      </c>
      <c r="F395" s="518">
        <f>F396</f>
        <v>3000</v>
      </c>
      <c r="G395" s="519">
        <f t="shared" si="23"/>
        <v>1</v>
      </c>
      <c r="H395" s="520"/>
    </row>
    <row r="396" spans="1:8" ht="19.5" customHeight="1">
      <c r="A396" s="521"/>
      <c r="B396" s="522" t="s">
        <v>544</v>
      </c>
      <c r="C396" s="365" t="s">
        <v>545</v>
      </c>
      <c r="D396" s="400">
        <v>3000</v>
      </c>
      <c r="E396" s="401">
        <v>3000</v>
      </c>
      <c r="F396" s="401">
        <f>F397</f>
        <v>3000</v>
      </c>
      <c r="G396" s="402">
        <f t="shared" si="23"/>
        <v>1</v>
      </c>
      <c r="H396" s="520"/>
    </row>
    <row r="397" spans="1:8" ht="19.5" customHeight="1">
      <c r="A397" s="523"/>
      <c r="B397" s="524"/>
      <c r="C397" s="525" t="s">
        <v>546</v>
      </c>
      <c r="D397" s="526">
        <v>3000</v>
      </c>
      <c r="E397" s="525">
        <v>3000</v>
      </c>
      <c r="F397" s="525">
        <v>3000</v>
      </c>
      <c r="G397" s="527">
        <f t="shared" si="23"/>
        <v>1</v>
      </c>
      <c r="H397" s="528"/>
    </row>
    <row r="398" spans="1:16" s="536" customFormat="1" ht="20.25" customHeight="1">
      <c r="A398" s="529">
        <v>600</v>
      </c>
      <c r="B398" s="530"/>
      <c r="C398" s="531" t="s">
        <v>434</v>
      </c>
      <c r="D398" s="531"/>
      <c r="E398" s="531">
        <f>E399</f>
        <v>882819</v>
      </c>
      <c r="F398" s="531">
        <f>F399</f>
        <v>882819</v>
      </c>
      <c r="G398" s="532">
        <f t="shared" si="23"/>
        <v>1</v>
      </c>
      <c r="H398" s="533"/>
      <c r="I398" s="534"/>
      <c r="J398" s="535"/>
      <c r="K398" s="535"/>
      <c r="L398" s="535"/>
      <c r="M398" s="535"/>
      <c r="N398" s="535"/>
      <c r="O398" s="535"/>
      <c r="P398" s="535"/>
    </row>
    <row r="399" spans="1:16" s="328" customFormat="1" ht="23.25" customHeight="1">
      <c r="A399" s="521"/>
      <c r="B399" s="537">
        <v>60015</v>
      </c>
      <c r="C399" s="401" t="s">
        <v>547</v>
      </c>
      <c r="D399" s="401"/>
      <c r="E399" s="401">
        <f>E400</f>
        <v>882819</v>
      </c>
      <c r="F399" s="401">
        <f>F400</f>
        <v>882819</v>
      </c>
      <c r="G399" s="402">
        <f t="shared" si="23"/>
        <v>1</v>
      </c>
      <c r="H399" s="538"/>
      <c r="I399" s="148"/>
      <c r="J399" s="149"/>
      <c r="K399" s="149"/>
      <c r="L399" s="149"/>
      <c r="M399" s="149"/>
      <c r="N399" s="149"/>
      <c r="O399" s="149"/>
      <c r="P399" s="149"/>
    </row>
    <row r="400" spans="1:8" ht="25.5" customHeight="1">
      <c r="A400" s="539"/>
      <c r="B400" s="540"/>
      <c r="C400" s="393" t="s">
        <v>436</v>
      </c>
      <c r="D400" s="393"/>
      <c r="E400" s="393">
        <v>882819</v>
      </c>
      <c r="F400" s="393">
        <v>882819</v>
      </c>
      <c r="G400" s="394">
        <f t="shared" si="23"/>
        <v>1</v>
      </c>
      <c r="H400" s="541"/>
    </row>
    <row r="401" spans="1:8" ht="19.5" customHeight="1">
      <c r="A401" s="228">
        <v>801</v>
      </c>
      <c r="B401" s="515"/>
      <c r="C401" s="516" t="s">
        <v>386</v>
      </c>
      <c r="D401" s="60">
        <f>D404</f>
        <v>498000</v>
      </c>
      <c r="E401" s="61">
        <f>E402+E404</f>
        <v>784685</v>
      </c>
      <c r="F401" s="61">
        <f>F402+F404</f>
        <v>784685</v>
      </c>
      <c r="G401" s="77">
        <f t="shared" si="23"/>
        <v>1</v>
      </c>
      <c r="H401" s="542"/>
    </row>
    <row r="402" spans="1:9" s="2" customFormat="1" ht="19.5" customHeight="1">
      <c r="A402" s="408"/>
      <c r="B402" s="543">
        <v>80130</v>
      </c>
      <c r="C402" s="544" t="s">
        <v>514</v>
      </c>
      <c r="D402" s="81"/>
      <c r="E402" s="82">
        <f>E403</f>
        <v>87383</v>
      </c>
      <c r="F402" s="82">
        <f>F403</f>
        <v>87383</v>
      </c>
      <c r="G402" s="181">
        <f t="shared" si="23"/>
        <v>1</v>
      </c>
      <c r="H402" s="545"/>
      <c r="I402" s="85"/>
    </row>
    <row r="403" spans="1:9" s="2" customFormat="1" ht="39" customHeight="1">
      <c r="A403" s="272"/>
      <c r="B403" s="546"/>
      <c r="C403" s="547" t="s">
        <v>548</v>
      </c>
      <c r="D403" s="87"/>
      <c r="E403" s="244">
        <v>87383</v>
      </c>
      <c r="F403" s="244">
        <v>87383</v>
      </c>
      <c r="G403" s="548">
        <f t="shared" si="23"/>
        <v>1</v>
      </c>
      <c r="H403" s="549"/>
      <c r="I403" s="85"/>
    </row>
    <row r="404" spans="1:8" ht="18.75" customHeight="1">
      <c r="A404" s="550"/>
      <c r="B404" s="551">
        <v>80195</v>
      </c>
      <c r="C404" s="213" t="s">
        <v>314</v>
      </c>
      <c r="D404" s="364">
        <f>D405</f>
        <v>498000</v>
      </c>
      <c r="E404" s="365">
        <f>E405+E406</f>
        <v>697302</v>
      </c>
      <c r="F404" s="365">
        <f>F405+F406</f>
        <v>697302</v>
      </c>
      <c r="G404" s="366">
        <f t="shared" si="23"/>
        <v>1</v>
      </c>
      <c r="H404" s="552"/>
    </row>
    <row r="405" spans="1:8" ht="26.25" customHeight="1">
      <c r="A405" s="550"/>
      <c r="B405" s="524"/>
      <c r="C405" s="553" t="s">
        <v>549</v>
      </c>
      <c r="D405" s="348">
        <v>498000</v>
      </c>
      <c r="E405" s="553">
        <v>679230</v>
      </c>
      <c r="F405" s="553">
        <v>679230</v>
      </c>
      <c r="G405" s="554">
        <f t="shared" si="23"/>
        <v>1</v>
      </c>
      <c r="H405" s="555"/>
    </row>
    <row r="406" spans="1:8" ht="26.25" customHeight="1">
      <c r="A406" s="556"/>
      <c r="B406" s="557"/>
      <c r="C406" s="404" t="s">
        <v>439</v>
      </c>
      <c r="D406" s="354"/>
      <c r="E406" s="404">
        <v>18072</v>
      </c>
      <c r="F406" s="404">
        <v>18072</v>
      </c>
      <c r="G406" s="405">
        <f t="shared" si="23"/>
        <v>1</v>
      </c>
      <c r="H406" s="552"/>
    </row>
    <row r="407" spans="1:8" ht="19.5" customHeight="1">
      <c r="A407" s="228">
        <v>853</v>
      </c>
      <c r="B407" s="515"/>
      <c r="C407" s="558" t="s">
        <v>395</v>
      </c>
      <c r="D407" s="559">
        <f>D408+D410+D413+D417+D419+D421</f>
        <v>18856000</v>
      </c>
      <c r="E407" s="558">
        <f>E408+E410+E413+E415+E417+E419+E421</f>
        <v>22298396</v>
      </c>
      <c r="F407" s="558">
        <f>F408+F410+F413+F415+F417+F419+F421</f>
        <v>22451975</v>
      </c>
      <c r="G407" s="487">
        <f t="shared" si="23"/>
        <v>1.0068874460745967</v>
      </c>
      <c r="H407" s="560"/>
    </row>
    <row r="408" spans="1:8" ht="19.5" customHeight="1">
      <c r="A408" s="427"/>
      <c r="B408" s="561">
        <v>85301</v>
      </c>
      <c r="C408" s="562" t="s">
        <v>520</v>
      </c>
      <c r="D408" s="563">
        <f>D409</f>
        <v>6710000</v>
      </c>
      <c r="E408" s="562">
        <f>E409</f>
        <v>7987000</v>
      </c>
      <c r="F408" s="562">
        <f>F409</f>
        <v>7987000</v>
      </c>
      <c r="G408" s="564">
        <f t="shared" si="23"/>
        <v>1</v>
      </c>
      <c r="H408" s="520"/>
    </row>
    <row r="409" spans="1:8" ht="19.5" customHeight="1">
      <c r="A409" s="550"/>
      <c r="B409" s="557"/>
      <c r="C409" s="404" t="s">
        <v>550</v>
      </c>
      <c r="D409" s="354">
        <v>6710000</v>
      </c>
      <c r="E409" s="393">
        <v>7987000</v>
      </c>
      <c r="F409" s="393">
        <v>7987000</v>
      </c>
      <c r="G409" s="394">
        <f t="shared" si="23"/>
        <v>1</v>
      </c>
      <c r="H409" s="552"/>
    </row>
    <row r="410" spans="1:8" ht="19.5" customHeight="1">
      <c r="A410" s="408"/>
      <c r="B410" s="543">
        <v>85302</v>
      </c>
      <c r="C410" s="213" t="s">
        <v>523</v>
      </c>
      <c r="D410" s="212">
        <f>D411</f>
        <v>7609000</v>
      </c>
      <c r="E410" s="213">
        <f>E411+E412</f>
        <v>8080428</v>
      </c>
      <c r="F410" s="213">
        <f>F411+F412</f>
        <v>8080428</v>
      </c>
      <c r="G410" s="214">
        <f t="shared" si="23"/>
        <v>1</v>
      </c>
      <c r="H410" s="520"/>
    </row>
    <row r="411" spans="1:8" ht="19.5" customHeight="1">
      <c r="A411" s="550"/>
      <c r="B411" s="565"/>
      <c r="C411" s="553" t="s">
        <v>551</v>
      </c>
      <c r="D411" s="348">
        <v>7609000</v>
      </c>
      <c r="E411" s="553">
        <v>8039400</v>
      </c>
      <c r="F411" s="553">
        <v>8039400</v>
      </c>
      <c r="G411" s="554">
        <f t="shared" si="23"/>
        <v>1</v>
      </c>
      <c r="H411" s="566"/>
    </row>
    <row r="412" spans="1:8" ht="27.75" customHeight="1">
      <c r="A412" s="550"/>
      <c r="B412" s="557"/>
      <c r="C412" s="525" t="s">
        <v>552</v>
      </c>
      <c r="D412" s="526"/>
      <c r="E412" s="404">
        <v>41028</v>
      </c>
      <c r="F412" s="404">
        <v>41028</v>
      </c>
      <c r="G412" s="405">
        <f t="shared" si="23"/>
        <v>1</v>
      </c>
      <c r="H412" s="555"/>
    </row>
    <row r="413" spans="1:8" ht="19.5" customHeight="1">
      <c r="A413" s="567"/>
      <c r="B413" s="537">
        <v>85304</v>
      </c>
      <c r="C413" s="401" t="s">
        <v>525</v>
      </c>
      <c r="D413" s="400">
        <f>D414</f>
        <v>3662000</v>
      </c>
      <c r="E413" s="401">
        <f>E414</f>
        <v>5330110</v>
      </c>
      <c r="F413" s="401">
        <f>F414</f>
        <v>5330110</v>
      </c>
      <c r="G413" s="402">
        <f t="shared" si="23"/>
        <v>1</v>
      </c>
      <c r="H413" s="568"/>
    </row>
    <row r="414" spans="1:8" ht="27.75" customHeight="1">
      <c r="A414" s="550"/>
      <c r="B414" s="540"/>
      <c r="C414" s="393" t="s">
        <v>553</v>
      </c>
      <c r="D414" s="276">
        <v>3662000</v>
      </c>
      <c r="E414" s="306">
        <v>5330110</v>
      </c>
      <c r="F414" s="306">
        <v>5330110</v>
      </c>
      <c r="G414" s="307">
        <f t="shared" si="23"/>
        <v>1</v>
      </c>
      <c r="H414" s="569"/>
    </row>
    <row r="415" spans="1:9" s="149" customFormat="1" ht="19.5" customHeight="1">
      <c r="A415" s="567"/>
      <c r="B415" s="551">
        <v>85324</v>
      </c>
      <c r="C415" s="365" t="s">
        <v>554</v>
      </c>
      <c r="D415" s="67"/>
      <c r="E415" s="190"/>
      <c r="F415" s="190">
        <f>F416</f>
        <v>153579</v>
      </c>
      <c r="G415" s="270"/>
      <c r="H415" s="568"/>
      <c r="I415" s="148"/>
    </row>
    <row r="416" spans="1:8" ht="27.75" customHeight="1">
      <c r="A416" s="550"/>
      <c r="B416" s="524"/>
      <c r="C416" s="525" t="s">
        <v>555</v>
      </c>
      <c r="D416" s="40"/>
      <c r="E416" s="289"/>
      <c r="F416" s="289">
        <v>153579</v>
      </c>
      <c r="G416" s="424"/>
      <c r="H416" s="555"/>
    </row>
    <row r="417" spans="1:9" ht="19.5" customHeight="1">
      <c r="A417" s="570"/>
      <c r="B417" s="561">
        <v>85326</v>
      </c>
      <c r="C417" s="562" t="s">
        <v>556</v>
      </c>
      <c r="D417" s="562">
        <f>SUM(D418:D418)</f>
        <v>230000</v>
      </c>
      <c r="E417" s="562">
        <f>SUM(E418:E418)</f>
        <v>230000</v>
      </c>
      <c r="F417" s="562">
        <f>F418</f>
        <v>230000</v>
      </c>
      <c r="G417" s="564">
        <f aca="true" t="shared" si="24" ref="G417:G427">F417/E417</f>
        <v>1</v>
      </c>
      <c r="H417" s="538"/>
      <c r="I417" s="7"/>
    </row>
    <row r="418" spans="1:8" ht="21" customHeight="1">
      <c r="A418" s="408"/>
      <c r="B418" s="571"/>
      <c r="C418" s="525" t="s">
        <v>557</v>
      </c>
      <c r="D418" s="449">
        <v>230000</v>
      </c>
      <c r="E418" s="217">
        <v>230000</v>
      </c>
      <c r="F418" s="217">
        <v>230000</v>
      </c>
      <c r="G418" s="218">
        <f t="shared" si="24"/>
        <v>1</v>
      </c>
      <c r="H418" s="520"/>
    </row>
    <row r="419" spans="1:8" ht="19.5" customHeight="1">
      <c r="A419" s="408"/>
      <c r="B419" s="561">
        <v>85333</v>
      </c>
      <c r="C419" s="562" t="s">
        <v>528</v>
      </c>
      <c r="D419" s="563">
        <f>D420</f>
        <v>618000</v>
      </c>
      <c r="E419" s="562">
        <f>E420</f>
        <v>643858</v>
      </c>
      <c r="F419" s="562">
        <f>F420</f>
        <v>643858</v>
      </c>
      <c r="G419" s="564">
        <f t="shared" si="24"/>
        <v>1</v>
      </c>
      <c r="H419" s="520"/>
    </row>
    <row r="420" spans="1:8" ht="19.5" customHeight="1">
      <c r="A420" s="550"/>
      <c r="B420" s="557"/>
      <c r="C420" s="393" t="s">
        <v>558</v>
      </c>
      <c r="D420" s="572">
        <v>618000</v>
      </c>
      <c r="E420" s="573">
        <v>643858</v>
      </c>
      <c r="F420" s="573">
        <v>643858</v>
      </c>
      <c r="G420" s="574">
        <f t="shared" si="24"/>
        <v>1</v>
      </c>
      <c r="H420" s="552"/>
    </row>
    <row r="421" spans="1:8" ht="19.5" customHeight="1">
      <c r="A421" s="408"/>
      <c r="B421" s="543">
        <v>85395</v>
      </c>
      <c r="C421" s="213" t="s">
        <v>314</v>
      </c>
      <c r="D421" s="212">
        <f>D422</f>
        <v>27000</v>
      </c>
      <c r="E421" s="213">
        <f>E422</f>
        <v>27000</v>
      </c>
      <c r="F421" s="213">
        <f>F422</f>
        <v>27000</v>
      </c>
      <c r="G421" s="564">
        <f t="shared" si="24"/>
        <v>1</v>
      </c>
      <c r="H421" s="520"/>
    </row>
    <row r="422" spans="1:8" ht="29.25" customHeight="1">
      <c r="A422" s="550"/>
      <c r="B422" s="565"/>
      <c r="C422" s="575" t="s">
        <v>559</v>
      </c>
      <c r="D422" s="576">
        <v>27000</v>
      </c>
      <c r="E422" s="577">
        <v>27000</v>
      </c>
      <c r="F422" s="577">
        <v>27000</v>
      </c>
      <c r="G422" s="578">
        <f t="shared" si="24"/>
        <v>1</v>
      </c>
      <c r="H422" s="569"/>
    </row>
    <row r="423" spans="1:8" ht="19.5" customHeight="1">
      <c r="A423" s="579">
        <v>854</v>
      </c>
      <c r="B423" s="580"/>
      <c r="C423" s="486" t="s">
        <v>443</v>
      </c>
      <c r="D423" s="485">
        <f>D424+D426</f>
        <v>72000</v>
      </c>
      <c r="E423" s="486">
        <f>E424+E426</f>
        <v>725904</v>
      </c>
      <c r="F423" s="486">
        <f>F424+F426</f>
        <v>725904</v>
      </c>
      <c r="G423" s="487">
        <f t="shared" si="24"/>
        <v>1</v>
      </c>
      <c r="H423" s="581"/>
    </row>
    <row r="424" spans="1:8" ht="19.5" customHeight="1">
      <c r="A424" s="567"/>
      <c r="B424" s="551">
        <v>85415</v>
      </c>
      <c r="C424" s="342" t="s">
        <v>560</v>
      </c>
      <c r="D424" s="341"/>
      <c r="E424" s="342">
        <f>E425</f>
        <v>617662</v>
      </c>
      <c r="F424" s="342">
        <f>F425</f>
        <v>617662</v>
      </c>
      <c r="G424" s="343">
        <f t="shared" si="24"/>
        <v>1</v>
      </c>
      <c r="H424" s="582"/>
    </row>
    <row r="425" spans="1:8" ht="19.5" customHeight="1">
      <c r="A425" s="550"/>
      <c r="B425" s="565"/>
      <c r="C425" s="575" t="s">
        <v>561</v>
      </c>
      <c r="D425" s="583"/>
      <c r="E425" s="575">
        <v>617662</v>
      </c>
      <c r="F425" s="575">
        <v>617662</v>
      </c>
      <c r="G425" s="584">
        <f t="shared" si="24"/>
        <v>1</v>
      </c>
      <c r="H425" s="569"/>
    </row>
    <row r="426" spans="1:9" s="149" customFormat="1" ht="19.5" customHeight="1">
      <c r="A426" s="567"/>
      <c r="B426" s="561">
        <v>85495</v>
      </c>
      <c r="C426" s="562" t="s">
        <v>314</v>
      </c>
      <c r="D426" s="401">
        <f>D427</f>
        <v>72000</v>
      </c>
      <c r="E426" s="401">
        <f>E427</f>
        <v>108242</v>
      </c>
      <c r="F426" s="401">
        <f>F427</f>
        <v>108242</v>
      </c>
      <c r="G426" s="402">
        <f t="shared" si="24"/>
        <v>1</v>
      </c>
      <c r="H426" s="568"/>
      <c r="I426" s="148"/>
    </row>
    <row r="427" spans="1:8" ht="27" customHeight="1">
      <c r="A427" s="556"/>
      <c r="B427" s="540"/>
      <c r="C427" s="404" t="s">
        <v>559</v>
      </c>
      <c r="D427" s="354">
        <v>72000</v>
      </c>
      <c r="E427" s="393">
        <v>108242</v>
      </c>
      <c r="F427" s="393">
        <v>108242</v>
      </c>
      <c r="G427" s="394">
        <f t="shared" si="24"/>
        <v>1</v>
      </c>
      <c r="H427" s="569"/>
    </row>
    <row r="428" spans="1:8" ht="24.75" customHeight="1">
      <c r="A428" s="585"/>
      <c r="B428" s="586"/>
      <c r="C428" s="587"/>
      <c r="D428" s="587"/>
      <c r="E428" s="587"/>
      <c r="F428" s="587"/>
      <c r="G428" s="588"/>
      <c r="H428" s="587"/>
    </row>
    <row r="429" spans="1:8" ht="24.75" customHeight="1">
      <c r="A429" s="589"/>
      <c r="B429" s="590"/>
      <c r="C429" s="591"/>
      <c r="D429" s="591"/>
      <c r="E429" s="591"/>
      <c r="F429" s="591"/>
      <c r="G429" s="592"/>
      <c r="H429" s="587"/>
    </row>
    <row r="430" spans="1:8" ht="18.75" customHeight="1">
      <c r="A430" s="228">
        <v>900</v>
      </c>
      <c r="B430" s="593"/>
      <c r="C430" s="59" t="s">
        <v>413</v>
      </c>
      <c r="D430" s="594">
        <f>D431</f>
        <v>656000</v>
      </c>
      <c r="E430" s="595">
        <f>E431</f>
        <v>656000</v>
      </c>
      <c r="F430" s="595">
        <f>F431</f>
        <v>250740</v>
      </c>
      <c r="G430" s="422">
        <f aca="true" t="shared" si="25" ref="G430:G439">F430/E430</f>
        <v>0.38222560975609754</v>
      </c>
      <c r="H430" s="569"/>
    </row>
    <row r="431" spans="1:8" ht="19.5" customHeight="1">
      <c r="A431" s="550"/>
      <c r="B431" s="537">
        <v>90002</v>
      </c>
      <c r="C431" s="90" t="s">
        <v>562</v>
      </c>
      <c r="D431" s="400">
        <v>656000</v>
      </c>
      <c r="E431" s="401">
        <v>656000</v>
      </c>
      <c r="F431" s="401">
        <f>F432</f>
        <v>250740</v>
      </c>
      <c r="G431" s="402">
        <f t="shared" si="25"/>
        <v>0.38222560975609754</v>
      </c>
      <c r="H431" s="569"/>
    </row>
    <row r="432" spans="1:8" ht="26.25" customHeight="1">
      <c r="A432" s="550"/>
      <c r="B432" s="565"/>
      <c r="C432" s="71" t="s">
        <v>563</v>
      </c>
      <c r="D432" s="392">
        <v>656000</v>
      </c>
      <c r="E432" s="393">
        <v>656000</v>
      </c>
      <c r="F432" s="393">
        <v>250740</v>
      </c>
      <c r="G432" s="394">
        <f t="shared" si="25"/>
        <v>0.38222560975609754</v>
      </c>
      <c r="H432" s="569"/>
    </row>
    <row r="433" spans="1:8" ht="24.75" customHeight="1" thickBot="1">
      <c r="A433" s="351"/>
      <c r="B433" s="352"/>
      <c r="C433" s="596" t="s">
        <v>452</v>
      </c>
      <c r="D433" s="597">
        <f>D437</f>
        <v>2492981</v>
      </c>
      <c r="E433" s="598">
        <f>E434+E437+E440+E443</f>
        <v>2939932</v>
      </c>
      <c r="F433" s="598">
        <f>F434+F437+F440+F443</f>
        <v>2946932</v>
      </c>
      <c r="G433" s="599">
        <f t="shared" si="25"/>
        <v>1.002381007451873</v>
      </c>
      <c r="H433" s="568"/>
    </row>
    <row r="434" spans="1:8" ht="19.5" customHeight="1" thickTop="1">
      <c r="A434" s="177">
        <v>754</v>
      </c>
      <c r="B434" s="600"/>
      <c r="C434" s="411" t="s">
        <v>344</v>
      </c>
      <c r="D434" s="601"/>
      <c r="E434" s="602">
        <f>E435</f>
        <v>26000</v>
      </c>
      <c r="F434" s="602">
        <f>F435</f>
        <v>26000</v>
      </c>
      <c r="G434" s="603">
        <f t="shared" si="25"/>
        <v>1</v>
      </c>
      <c r="H434" s="568"/>
    </row>
    <row r="435" spans="1:8" ht="19.5" customHeight="1">
      <c r="A435" s="604"/>
      <c r="B435" s="358">
        <v>75411</v>
      </c>
      <c r="C435" s="399" t="s">
        <v>564</v>
      </c>
      <c r="D435" s="400"/>
      <c r="E435" s="401">
        <f>E436</f>
        <v>26000</v>
      </c>
      <c r="F435" s="401">
        <f>F436</f>
        <v>26000</v>
      </c>
      <c r="G435" s="402">
        <f t="shared" si="25"/>
        <v>1</v>
      </c>
      <c r="H435" s="568"/>
    </row>
    <row r="436" spans="1:8" ht="19.5" customHeight="1">
      <c r="A436" s="351"/>
      <c r="B436" s="352"/>
      <c r="C436" s="367" t="s">
        <v>565</v>
      </c>
      <c r="D436" s="392"/>
      <c r="E436" s="393">
        <v>26000</v>
      </c>
      <c r="F436" s="393">
        <v>26000</v>
      </c>
      <c r="G436" s="394">
        <f t="shared" si="25"/>
        <v>1</v>
      </c>
      <c r="H436" s="555"/>
    </row>
    <row r="437" spans="1:8" ht="19.5" customHeight="1">
      <c r="A437" s="605" t="s">
        <v>566</v>
      </c>
      <c r="B437" s="605"/>
      <c r="C437" s="59" t="s">
        <v>386</v>
      </c>
      <c r="D437" s="421">
        <f aca="true" t="shared" si="26" ref="D437:F438">D438</f>
        <v>2492981</v>
      </c>
      <c r="E437" s="420">
        <f t="shared" si="26"/>
        <v>2893932</v>
      </c>
      <c r="F437" s="420">
        <f t="shared" si="26"/>
        <v>2893932</v>
      </c>
      <c r="G437" s="422">
        <f t="shared" si="25"/>
        <v>1</v>
      </c>
      <c r="H437" s="606">
        <f>H438</f>
        <v>0</v>
      </c>
    </row>
    <row r="438" spans="1:8" ht="19.5" customHeight="1">
      <c r="A438" s="607"/>
      <c r="B438" s="608" t="s">
        <v>567</v>
      </c>
      <c r="C438" s="609" t="s">
        <v>515</v>
      </c>
      <c r="D438" s="67">
        <f t="shared" si="26"/>
        <v>2492981</v>
      </c>
      <c r="E438" s="190">
        <f t="shared" si="26"/>
        <v>2893932</v>
      </c>
      <c r="F438" s="190">
        <f t="shared" si="26"/>
        <v>2893932</v>
      </c>
      <c r="G438" s="270">
        <f t="shared" si="25"/>
        <v>1</v>
      </c>
      <c r="H438" s="610"/>
    </row>
    <row r="439" spans="1:8" ht="19.5" customHeight="1">
      <c r="A439" s="607"/>
      <c r="B439" s="611"/>
      <c r="C439" s="612" t="s">
        <v>568</v>
      </c>
      <c r="D439" s="583">
        <v>2492981</v>
      </c>
      <c r="E439" s="526">
        <v>2893932</v>
      </c>
      <c r="F439" s="526">
        <v>2893932</v>
      </c>
      <c r="G439" s="613">
        <f t="shared" si="25"/>
        <v>1</v>
      </c>
      <c r="H439" s="614"/>
    </row>
    <row r="440" spans="1:16" s="328" customFormat="1" ht="19.5" customHeight="1">
      <c r="A440" s="615" t="s">
        <v>569</v>
      </c>
      <c r="B440" s="616"/>
      <c r="C440" s="176" t="s">
        <v>395</v>
      </c>
      <c r="D440" s="396"/>
      <c r="E440" s="396"/>
      <c r="F440" s="396">
        <f>F441</f>
        <v>27000</v>
      </c>
      <c r="G440" s="397"/>
      <c r="H440" s="568"/>
      <c r="I440" s="148"/>
      <c r="J440" s="149"/>
      <c r="K440" s="149"/>
      <c r="L440" s="149"/>
      <c r="M440" s="149"/>
      <c r="N440" s="149"/>
      <c r="O440" s="149"/>
      <c r="P440" s="149"/>
    </row>
    <row r="441" spans="1:16" s="328" customFormat="1" ht="19.5" customHeight="1">
      <c r="A441" s="617"/>
      <c r="B441" s="618" t="s">
        <v>570</v>
      </c>
      <c r="C441" s="399" t="s">
        <v>396</v>
      </c>
      <c r="D441" s="401"/>
      <c r="E441" s="401"/>
      <c r="F441" s="401">
        <f>F442</f>
        <v>27000</v>
      </c>
      <c r="G441" s="402"/>
      <c r="H441" s="568"/>
      <c r="I441" s="148"/>
      <c r="J441" s="149"/>
      <c r="K441" s="149"/>
      <c r="L441" s="149"/>
      <c r="M441" s="149"/>
      <c r="N441" s="149"/>
      <c r="O441" s="149"/>
      <c r="P441" s="149"/>
    </row>
    <row r="442" spans="1:8" s="7" customFormat="1" ht="24.75" customHeight="1">
      <c r="A442" s="619"/>
      <c r="B442" s="611"/>
      <c r="C442" s="367" t="s">
        <v>571</v>
      </c>
      <c r="D442" s="393"/>
      <c r="E442" s="393"/>
      <c r="F442" s="393">
        <v>27000</v>
      </c>
      <c r="G442" s="394"/>
      <c r="H442" s="591"/>
    </row>
    <row r="443" spans="1:16" s="328" customFormat="1" ht="19.5" customHeight="1">
      <c r="A443" s="615" t="s">
        <v>572</v>
      </c>
      <c r="B443" s="616"/>
      <c r="C443" s="176" t="s">
        <v>573</v>
      </c>
      <c r="D443" s="396"/>
      <c r="E443" s="396">
        <f>E444</f>
        <v>20000</v>
      </c>
      <c r="F443" s="396"/>
      <c r="G443" s="397"/>
      <c r="H443" s="568"/>
      <c r="I443" s="148"/>
      <c r="J443" s="149"/>
      <c r="K443" s="149"/>
      <c r="L443" s="149"/>
      <c r="M443" s="149"/>
      <c r="N443" s="149"/>
      <c r="O443" s="149"/>
      <c r="P443" s="149"/>
    </row>
    <row r="444" spans="1:16" s="328" customFormat="1" ht="19.5" customHeight="1">
      <c r="A444" s="617"/>
      <c r="B444" s="618" t="s">
        <v>574</v>
      </c>
      <c r="C444" s="399" t="s">
        <v>575</v>
      </c>
      <c r="D444" s="401"/>
      <c r="E444" s="401">
        <f>E445</f>
        <v>20000</v>
      </c>
      <c r="F444" s="401"/>
      <c r="G444" s="402"/>
      <c r="H444" s="568"/>
      <c r="I444" s="148"/>
      <c r="J444" s="149"/>
      <c r="K444" s="149"/>
      <c r="L444" s="149"/>
      <c r="M444" s="149"/>
      <c r="N444" s="149"/>
      <c r="O444" s="149"/>
      <c r="P444" s="149"/>
    </row>
    <row r="445" spans="1:8" s="7" customFormat="1" ht="24.75" customHeight="1">
      <c r="A445" s="619"/>
      <c r="B445" s="611"/>
      <c r="C445" s="367" t="s">
        <v>576</v>
      </c>
      <c r="D445" s="393"/>
      <c r="E445" s="393">
        <v>20000</v>
      </c>
      <c r="F445" s="393"/>
      <c r="G445" s="394"/>
      <c r="H445" s="591"/>
    </row>
    <row r="446" spans="1:8" ht="24.75" customHeight="1" thickBot="1">
      <c r="A446" s="351"/>
      <c r="B446" s="352"/>
      <c r="C446" s="596" t="s">
        <v>577</v>
      </c>
      <c r="D446" s="597">
        <f>D447+D451+D455+D461+D466+D469+D475</f>
        <v>20671534</v>
      </c>
      <c r="E446" s="598">
        <f>E447+E451+E455+E461+E466+E469+E475</f>
        <v>21066763</v>
      </c>
      <c r="F446" s="598">
        <f>F447+F451+F455+F461+F466+F469+F475</f>
        <v>20724033</v>
      </c>
      <c r="G446" s="599">
        <f aca="true" t="shared" si="27" ref="G446:G453">F446/E446</f>
        <v>0.9837312452795904</v>
      </c>
      <c r="H446" s="620"/>
    </row>
    <row r="447" spans="1:9" s="7" customFormat="1" ht="19.5" customHeight="1" thickTop="1">
      <c r="A447" s="615" t="s">
        <v>311</v>
      </c>
      <c r="B447" s="615"/>
      <c r="C447" s="59" t="s">
        <v>312</v>
      </c>
      <c r="D447" s="421">
        <f>D448</f>
        <v>913750</v>
      </c>
      <c r="E447" s="420">
        <f>E448</f>
        <v>348750</v>
      </c>
      <c r="F447" s="420">
        <f>F448</f>
        <v>348750</v>
      </c>
      <c r="G447" s="422">
        <f t="shared" si="27"/>
        <v>1</v>
      </c>
      <c r="H447" s="606"/>
      <c r="I447" s="6"/>
    </row>
    <row r="448" spans="1:9" s="7" customFormat="1" ht="19.5" customHeight="1">
      <c r="A448" s="621"/>
      <c r="B448" s="618" t="s">
        <v>492</v>
      </c>
      <c r="C448" s="399" t="s">
        <v>493</v>
      </c>
      <c r="D448" s="400">
        <f>D449+D450</f>
        <v>913750</v>
      </c>
      <c r="E448" s="401">
        <f>E449+E450</f>
        <v>348750</v>
      </c>
      <c r="F448" s="401">
        <f>F449+F450</f>
        <v>348750</v>
      </c>
      <c r="G448" s="402">
        <f t="shared" si="27"/>
        <v>1</v>
      </c>
      <c r="H448" s="568"/>
      <c r="I448" s="6"/>
    </row>
    <row r="449" spans="1:9" s="7" customFormat="1" ht="19.5" customHeight="1">
      <c r="A449" s="607"/>
      <c r="B449" s="622"/>
      <c r="C449" s="623" t="s">
        <v>578</v>
      </c>
      <c r="D449" s="624">
        <v>910000</v>
      </c>
      <c r="E449" s="625">
        <v>345000</v>
      </c>
      <c r="F449" s="625">
        <v>345000</v>
      </c>
      <c r="G449" s="626">
        <f t="shared" si="27"/>
        <v>1</v>
      </c>
      <c r="H449" s="627"/>
      <c r="I449" s="6"/>
    </row>
    <row r="450" spans="1:9" s="2" customFormat="1" ht="39.75" customHeight="1">
      <c r="A450" s="628"/>
      <c r="B450" s="629"/>
      <c r="C450" s="630" t="s">
        <v>579</v>
      </c>
      <c r="D450" s="167">
        <v>3750</v>
      </c>
      <c r="E450" s="309">
        <v>3750</v>
      </c>
      <c r="F450" s="309">
        <v>3750</v>
      </c>
      <c r="G450" s="310">
        <f t="shared" si="27"/>
        <v>1</v>
      </c>
      <c r="H450" s="631"/>
      <c r="I450" s="85"/>
    </row>
    <row r="451" spans="1:9" s="7" customFormat="1" ht="19.5" customHeight="1">
      <c r="A451" s="137">
        <v>700</v>
      </c>
      <c r="B451" s="58"/>
      <c r="C451" s="59" t="s">
        <v>497</v>
      </c>
      <c r="D451" s="421">
        <f aca="true" t="shared" si="28" ref="D451:F452">D452</f>
        <v>320000</v>
      </c>
      <c r="E451" s="420">
        <f t="shared" si="28"/>
        <v>1140076</v>
      </c>
      <c r="F451" s="420">
        <f t="shared" si="28"/>
        <v>1087618</v>
      </c>
      <c r="G451" s="422">
        <f t="shared" si="27"/>
        <v>0.953987278041113</v>
      </c>
      <c r="H451" s="606"/>
      <c r="I451" s="6"/>
    </row>
    <row r="452" spans="1:17" s="7" customFormat="1" ht="19.5" customHeight="1">
      <c r="A452" s="345"/>
      <c r="B452" s="358">
        <v>70005</v>
      </c>
      <c r="C452" s="399" t="s">
        <v>319</v>
      </c>
      <c r="D452" s="400">
        <f t="shared" si="28"/>
        <v>320000</v>
      </c>
      <c r="E452" s="401">
        <f t="shared" si="28"/>
        <v>1140076</v>
      </c>
      <c r="F452" s="401">
        <f t="shared" si="28"/>
        <v>1087618</v>
      </c>
      <c r="G452" s="402">
        <f t="shared" si="27"/>
        <v>0.953987278041113</v>
      </c>
      <c r="H452" s="632" t="e">
        <f>H453+#REF!</f>
        <v>#REF!</v>
      </c>
      <c r="I452" s="568"/>
      <c r="J452" s="633"/>
      <c r="K452" s="633"/>
      <c r="L452" s="633"/>
      <c r="M452" s="633"/>
      <c r="N452" s="633"/>
      <c r="O452" s="633"/>
      <c r="P452" s="633"/>
      <c r="Q452" s="633"/>
    </row>
    <row r="453" spans="1:9" s="7" customFormat="1" ht="27.75" customHeight="1">
      <c r="A453" s="351"/>
      <c r="B453" s="352"/>
      <c r="C453" s="386" t="s">
        <v>580</v>
      </c>
      <c r="D453" s="392">
        <v>320000</v>
      </c>
      <c r="E453" s="393">
        <v>1140076</v>
      </c>
      <c r="F453" s="393">
        <v>1087618</v>
      </c>
      <c r="G453" s="394">
        <f t="shared" si="27"/>
        <v>0.953987278041113</v>
      </c>
      <c r="H453" s="569"/>
      <c r="I453" s="6"/>
    </row>
    <row r="454" spans="1:9" s="7" customFormat="1" ht="33" customHeight="1">
      <c r="A454" s="370"/>
      <c r="B454" s="371"/>
      <c r="C454" s="634"/>
      <c r="D454" s="587"/>
      <c r="E454" s="587"/>
      <c r="F454" s="587"/>
      <c r="G454" s="588"/>
      <c r="H454" s="591"/>
      <c r="I454" s="6"/>
    </row>
    <row r="455" spans="1:9" s="7" customFormat="1" ht="19.5" customHeight="1">
      <c r="A455" s="177">
        <v>710</v>
      </c>
      <c r="B455" s="58"/>
      <c r="C455" s="59" t="s">
        <v>332</v>
      </c>
      <c r="D455" s="421">
        <f>D456+D458</f>
        <v>411512</v>
      </c>
      <c r="E455" s="420">
        <f>E456+E458</f>
        <v>424099</v>
      </c>
      <c r="F455" s="420">
        <f>F456+F458</f>
        <v>422897</v>
      </c>
      <c r="G455" s="422">
        <f aca="true" t="shared" si="29" ref="G455:G479">F455/E455</f>
        <v>0.9971657561088331</v>
      </c>
      <c r="H455" s="606"/>
      <c r="I455" s="6"/>
    </row>
    <row r="456" spans="1:9" s="7" customFormat="1" ht="19.5" customHeight="1">
      <c r="A456" s="345"/>
      <c r="B456" s="358">
        <v>71013</v>
      </c>
      <c r="C456" s="399" t="s">
        <v>581</v>
      </c>
      <c r="D456" s="400">
        <f>D457</f>
        <v>80000</v>
      </c>
      <c r="E456" s="401">
        <f>E457</f>
        <v>80000</v>
      </c>
      <c r="F456" s="401">
        <f>F457</f>
        <v>80000</v>
      </c>
      <c r="G456" s="402">
        <f t="shared" si="29"/>
        <v>1</v>
      </c>
      <c r="H456" s="632"/>
      <c r="I456" s="6"/>
    </row>
    <row r="457" spans="1:9" s="7" customFormat="1" ht="19.5" customHeight="1">
      <c r="A457" s="345"/>
      <c r="B457" s="403"/>
      <c r="C457" s="623" t="s">
        <v>582</v>
      </c>
      <c r="D457" s="348">
        <v>80000</v>
      </c>
      <c r="E457" s="583">
        <v>80000</v>
      </c>
      <c r="F457" s="583">
        <v>80000</v>
      </c>
      <c r="G457" s="635">
        <f t="shared" si="29"/>
        <v>1</v>
      </c>
      <c r="H457" s="566"/>
      <c r="I457" s="6"/>
    </row>
    <row r="458" spans="1:256" s="7" customFormat="1" ht="19.5" customHeight="1">
      <c r="A458" s="345"/>
      <c r="B458" s="358">
        <v>71015</v>
      </c>
      <c r="C458" s="399" t="s">
        <v>500</v>
      </c>
      <c r="D458" s="400">
        <f>SUM(D459:D459)</f>
        <v>331512</v>
      </c>
      <c r="E458" s="401">
        <f>SUM(E459:E460)</f>
        <v>344099</v>
      </c>
      <c r="F458" s="401">
        <f>F459+F460</f>
        <v>342897</v>
      </c>
      <c r="G458" s="402">
        <f t="shared" si="29"/>
        <v>0.9965068192584111</v>
      </c>
      <c r="H458" s="632"/>
      <c r="I458" s="6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  <c r="IC458" s="8"/>
      <c r="ID458" s="8"/>
      <c r="IE458" s="8"/>
      <c r="IF458" s="8"/>
      <c r="IG458" s="8"/>
      <c r="IH458" s="8"/>
      <c r="II458" s="8"/>
      <c r="IJ458" s="8"/>
      <c r="IK458" s="8"/>
      <c r="IL458" s="8"/>
      <c r="IM458" s="8"/>
      <c r="IN458" s="8"/>
      <c r="IO458" s="8"/>
      <c r="IP458" s="8"/>
      <c r="IQ458" s="8"/>
      <c r="IR458" s="8"/>
      <c r="IS458" s="8"/>
      <c r="IT458" s="8"/>
      <c r="IU458" s="8"/>
      <c r="IV458" s="8"/>
    </row>
    <row r="459" spans="1:256" s="7" customFormat="1" ht="27" customHeight="1">
      <c r="A459" s="345"/>
      <c r="B459" s="636"/>
      <c r="C459" s="637" t="s">
        <v>583</v>
      </c>
      <c r="D459" s="348">
        <v>331512</v>
      </c>
      <c r="E459" s="348">
        <v>340099</v>
      </c>
      <c r="F459" s="348">
        <v>338953</v>
      </c>
      <c r="G459" s="349">
        <f t="shared" si="29"/>
        <v>0.9966303929150042</v>
      </c>
      <c r="H459" s="614"/>
      <c r="I459" s="6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  <c r="HW459" s="8"/>
      <c r="HX459" s="8"/>
      <c r="HY459" s="8"/>
      <c r="HZ459" s="8"/>
      <c r="IA459" s="8"/>
      <c r="IB459" s="8"/>
      <c r="IC459" s="8"/>
      <c r="ID459" s="8"/>
      <c r="IE459" s="8"/>
      <c r="IF459" s="8"/>
      <c r="IG459" s="8"/>
      <c r="IH459" s="8"/>
      <c r="II459" s="8"/>
      <c r="IJ459" s="8"/>
      <c r="IK459" s="8"/>
      <c r="IL459" s="8"/>
      <c r="IM459" s="8"/>
      <c r="IN459" s="8"/>
      <c r="IO459" s="8"/>
      <c r="IP459" s="8"/>
      <c r="IQ459" s="8"/>
      <c r="IR459" s="8"/>
      <c r="IS459" s="8"/>
      <c r="IT459" s="8"/>
      <c r="IU459" s="8"/>
      <c r="IV459" s="8"/>
    </row>
    <row r="460" spans="1:256" s="7" customFormat="1" ht="27" customHeight="1">
      <c r="A460" s="351"/>
      <c r="B460" s="340"/>
      <c r="C460" s="638" t="s">
        <v>584</v>
      </c>
      <c r="D460" s="354"/>
      <c r="E460" s="354">
        <v>4000</v>
      </c>
      <c r="F460" s="354">
        <v>3944</v>
      </c>
      <c r="G460" s="355">
        <f t="shared" si="29"/>
        <v>0.986</v>
      </c>
      <c r="H460" s="555"/>
      <c r="I460" s="6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  <c r="HE460" s="8"/>
      <c r="HF460" s="8"/>
      <c r="HG460" s="8"/>
      <c r="HH460" s="8"/>
      <c r="HI460" s="8"/>
      <c r="HJ460" s="8"/>
      <c r="HK460" s="8"/>
      <c r="HL460" s="8"/>
      <c r="HM460" s="8"/>
      <c r="HN460" s="8"/>
      <c r="HO460" s="8"/>
      <c r="HP460" s="8"/>
      <c r="HQ460" s="8"/>
      <c r="HR460" s="8"/>
      <c r="HS460" s="8"/>
      <c r="HT460" s="8"/>
      <c r="HU460" s="8"/>
      <c r="HV460" s="8"/>
      <c r="HW460" s="8"/>
      <c r="HX460" s="8"/>
      <c r="HY460" s="8"/>
      <c r="HZ460" s="8"/>
      <c r="IA460" s="8"/>
      <c r="IB460" s="8"/>
      <c r="IC460" s="8"/>
      <c r="ID460" s="8"/>
      <c r="IE460" s="8"/>
      <c r="IF460" s="8"/>
      <c r="IG460" s="8"/>
      <c r="IH460" s="8"/>
      <c r="II460" s="8"/>
      <c r="IJ460" s="8"/>
      <c r="IK460" s="8"/>
      <c r="IL460" s="8"/>
      <c r="IM460" s="8"/>
      <c r="IN460" s="8"/>
      <c r="IO460" s="8"/>
      <c r="IP460" s="8"/>
      <c r="IQ460" s="8"/>
      <c r="IR460" s="8"/>
      <c r="IS460" s="8"/>
      <c r="IT460" s="8"/>
      <c r="IU460" s="8"/>
      <c r="IV460" s="8"/>
    </row>
    <row r="461" spans="1:256" s="7" customFormat="1" ht="19.5" customHeight="1">
      <c r="A461" s="177">
        <v>750</v>
      </c>
      <c r="B461" s="58"/>
      <c r="C461" s="59" t="s">
        <v>336</v>
      </c>
      <c r="D461" s="421">
        <f>D462+D464</f>
        <v>899272</v>
      </c>
      <c r="E461" s="420">
        <f>E462+E464</f>
        <v>899272</v>
      </c>
      <c r="F461" s="420">
        <f>F462+F464</f>
        <v>899272</v>
      </c>
      <c r="G461" s="422">
        <f t="shared" si="29"/>
        <v>1</v>
      </c>
      <c r="H461" s="606"/>
      <c r="I461" s="6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  <c r="HE461" s="8"/>
      <c r="HF461" s="8"/>
      <c r="HG461" s="8"/>
      <c r="HH461" s="8"/>
      <c r="HI461" s="8"/>
      <c r="HJ461" s="8"/>
      <c r="HK461" s="8"/>
      <c r="HL461" s="8"/>
      <c r="HM461" s="8"/>
      <c r="HN461" s="8"/>
      <c r="HO461" s="8"/>
      <c r="HP461" s="8"/>
      <c r="HQ461" s="8"/>
      <c r="HR461" s="8"/>
      <c r="HS461" s="8"/>
      <c r="HT461" s="8"/>
      <c r="HU461" s="8"/>
      <c r="HV461" s="8"/>
      <c r="HW461" s="8"/>
      <c r="HX461" s="8"/>
      <c r="HY461" s="8"/>
      <c r="HZ461" s="8"/>
      <c r="IA461" s="8"/>
      <c r="IB461" s="8"/>
      <c r="IC461" s="8"/>
      <c r="ID461" s="8"/>
      <c r="IE461" s="8"/>
      <c r="IF461" s="8"/>
      <c r="IG461" s="8"/>
      <c r="IH461" s="8"/>
      <c r="II461" s="8"/>
      <c r="IJ461" s="8"/>
      <c r="IK461" s="8"/>
      <c r="IL461" s="8"/>
      <c r="IM461" s="8"/>
      <c r="IN461" s="8"/>
      <c r="IO461" s="8"/>
      <c r="IP461" s="8"/>
      <c r="IQ461" s="8"/>
      <c r="IR461" s="8"/>
      <c r="IS461" s="8"/>
      <c r="IT461" s="8"/>
      <c r="IU461" s="8"/>
      <c r="IV461" s="8"/>
    </row>
    <row r="462" spans="1:256" s="7" customFormat="1" ht="19.5" customHeight="1">
      <c r="A462" s="604"/>
      <c r="B462" s="358">
        <v>75011</v>
      </c>
      <c r="C462" s="399" t="s">
        <v>459</v>
      </c>
      <c r="D462" s="400">
        <f>D463</f>
        <v>785272</v>
      </c>
      <c r="E462" s="401">
        <f>E463</f>
        <v>785272</v>
      </c>
      <c r="F462" s="401">
        <f>F463</f>
        <v>785272</v>
      </c>
      <c r="G462" s="402">
        <f t="shared" si="29"/>
        <v>1</v>
      </c>
      <c r="H462" s="610"/>
      <c r="I462" s="6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  <c r="HE462" s="8"/>
      <c r="HF462" s="8"/>
      <c r="HG462" s="8"/>
      <c r="HH462" s="8"/>
      <c r="HI462" s="8"/>
      <c r="HJ462" s="8"/>
      <c r="HK462" s="8"/>
      <c r="HL462" s="8"/>
      <c r="HM462" s="8"/>
      <c r="HN462" s="8"/>
      <c r="HO462" s="8"/>
      <c r="HP462" s="8"/>
      <c r="HQ462" s="8"/>
      <c r="HR462" s="8"/>
      <c r="HS462" s="8"/>
      <c r="HT462" s="8"/>
      <c r="HU462" s="8"/>
      <c r="HV462" s="8"/>
      <c r="HW462" s="8"/>
      <c r="HX462" s="8"/>
      <c r="HY462" s="8"/>
      <c r="HZ462" s="8"/>
      <c r="IA462" s="8"/>
      <c r="IB462" s="8"/>
      <c r="IC462" s="8"/>
      <c r="ID462" s="8"/>
      <c r="IE462" s="8"/>
      <c r="IF462" s="8"/>
      <c r="IG462" s="8"/>
      <c r="IH462" s="8"/>
      <c r="II462" s="8"/>
      <c r="IJ462" s="8"/>
      <c r="IK462" s="8"/>
      <c r="IL462" s="8"/>
      <c r="IM462" s="8"/>
      <c r="IN462" s="8"/>
      <c r="IO462" s="8"/>
      <c r="IP462" s="8"/>
      <c r="IQ462" s="8"/>
      <c r="IR462" s="8"/>
      <c r="IS462" s="8"/>
      <c r="IT462" s="8"/>
      <c r="IU462" s="8"/>
      <c r="IV462" s="8"/>
    </row>
    <row r="463" spans="1:256" s="7" customFormat="1" ht="23.25" customHeight="1">
      <c r="A463" s="345"/>
      <c r="B463" s="352"/>
      <c r="C463" s="638" t="s">
        <v>585</v>
      </c>
      <c r="D463" s="354">
        <v>785272</v>
      </c>
      <c r="E463" s="354">
        <v>785272</v>
      </c>
      <c r="F463" s="354">
        <v>785272</v>
      </c>
      <c r="G463" s="355">
        <f t="shared" si="29"/>
        <v>1</v>
      </c>
      <c r="H463" s="566"/>
      <c r="I463" s="6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  <c r="HE463" s="8"/>
      <c r="HF463" s="8"/>
      <c r="HG463" s="8"/>
      <c r="HH463" s="8"/>
      <c r="HI463" s="8"/>
      <c r="HJ463" s="8"/>
      <c r="HK463" s="8"/>
      <c r="HL463" s="8"/>
      <c r="HM463" s="8"/>
      <c r="HN463" s="8"/>
      <c r="HO463" s="8"/>
      <c r="HP463" s="8"/>
      <c r="HQ463" s="8"/>
      <c r="HR463" s="8"/>
      <c r="HS463" s="8"/>
      <c r="HT463" s="8"/>
      <c r="HU463" s="8"/>
      <c r="HV463" s="8"/>
      <c r="HW463" s="8"/>
      <c r="HX463" s="8"/>
      <c r="HY463" s="8"/>
      <c r="HZ463" s="8"/>
      <c r="IA463" s="8"/>
      <c r="IB463" s="8"/>
      <c r="IC463" s="8"/>
      <c r="ID463" s="8"/>
      <c r="IE463" s="8"/>
      <c r="IF463" s="8"/>
      <c r="IG463" s="8"/>
      <c r="IH463" s="8"/>
      <c r="II463" s="8"/>
      <c r="IJ463" s="8"/>
      <c r="IK463" s="8"/>
      <c r="IL463" s="8"/>
      <c r="IM463" s="8"/>
      <c r="IN463" s="8"/>
      <c r="IO463" s="8"/>
      <c r="IP463" s="8"/>
      <c r="IQ463" s="8"/>
      <c r="IR463" s="8"/>
      <c r="IS463" s="8"/>
      <c r="IT463" s="8"/>
      <c r="IU463" s="8"/>
      <c r="IV463" s="8"/>
    </row>
    <row r="464" spans="1:256" s="7" customFormat="1" ht="19.5" customHeight="1">
      <c r="A464" s="345"/>
      <c r="B464" s="340">
        <v>75045</v>
      </c>
      <c r="C464" s="609" t="s">
        <v>586</v>
      </c>
      <c r="D464" s="364">
        <f>D465</f>
        <v>114000</v>
      </c>
      <c r="E464" s="365">
        <f>E465</f>
        <v>114000</v>
      </c>
      <c r="F464" s="365">
        <f>F465</f>
        <v>114000</v>
      </c>
      <c r="G464" s="366">
        <f t="shared" si="29"/>
        <v>1</v>
      </c>
      <c r="H464" s="632"/>
      <c r="I464" s="6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  <c r="HE464" s="8"/>
      <c r="HF464" s="8"/>
      <c r="HG464" s="8"/>
      <c r="HH464" s="8"/>
      <c r="HI464" s="8"/>
      <c r="HJ464" s="8"/>
      <c r="HK464" s="8"/>
      <c r="HL464" s="8"/>
      <c r="HM464" s="8"/>
      <c r="HN464" s="8"/>
      <c r="HO464" s="8"/>
      <c r="HP464" s="8"/>
      <c r="HQ464" s="8"/>
      <c r="HR464" s="8"/>
      <c r="HS464" s="8"/>
      <c r="HT464" s="8"/>
      <c r="HU464" s="8"/>
      <c r="HV464" s="8"/>
      <c r="HW464" s="8"/>
      <c r="HX464" s="8"/>
      <c r="HY464" s="8"/>
      <c r="HZ464" s="8"/>
      <c r="IA464" s="8"/>
      <c r="IB464" s="8"/>
      <c r="IC464" s="8"/>
      <c r="ID464" s="8"/>
      <c r="IE464" s="8"/>
      <c r="IF464" s="8"/>
      <c r="IG464" s="8"/>
      <c r="IH464" s="8"/>
      <c r="II464" s="8"/>
      <c r="IJ464" s="8"/>
      <c r="IK464" s="8"/>
      <c r="IL464" s="8"/>
      <c r="IM464" s="8"/>
      <c r="IN464" s="8"/>
      <c r="IO464" s="8"/>
      <c r="IP464" s="8"/>
      <c r="IQ464" s="8"/>
      <c r="IR464" s="8"/>
      <c r="IS464" s="8"/>
      <c r="IT464" s="8"/>
      <c r="IU464" s="8"/>
      <c r="IV464" s="8"/>
    </row>
    <row r="465" spans="1:8" ht="19.5" customHeight="1">
      <c r="A465" s="351"/>
      <c r="B465" s="352"/>
      <c r="C465" s="386" t="s">
        <v>587</v>
      </c>
      <c r="D465" s="392">
        <v>114000</v>
      </c>
      <c r="E465" s="392">
        <v>114000</v>
      </c>
      <c r="F465" s="392">
        <v>114000</v>
      </c>
      <c r="G465" s="639">
        <f t="shared" si="29"/>
        <v>1</v>
      </c>
      <c r="H465" s="614"/>
    </row>
    <row r="466" spans="1:8" ht="19.5" customHeight="1">
      <c r="A466" s="177">
        <v>754</v>
      </c>
      <c r="B466" s="58"/>
      <c r="C466" s="59" t="s">
        <v>344</v>
      </c>
      <c r="D466" s="421">
        <f aca="true" t="shared" si="30" ref="D466:F467">D467</f>
        <v>11299000</v>
      </c>
      <c r="E466" s="420">
        <f t="shared" si="30"/>
        <v>11324000</v>
      </c>
      <c r="F466" s="420">
        <f t="shared" si="30"/>
        <v>11324000</v>
      </c>
      <c r="G466" s="422">
        <f t="shared" si="29"/>
        <v>1</v>
      </c>
      <c r="H466" s="606"/>
    </row>
    <row r="467" spans="1:8" ht="19.5" customHeight="1">
      <c r="A467" s="345"/>
      <c r="B467" s="340">
        <v>75411</v>
      </c>
      <c r="C467" s="609" t="s">
        <v>564</v>
      </c>
      <c r="D467" s="364">
        <f t="shared" si="30"/>
        <v>11299000</v>
      </c>
      <c r="E467" s="365">
        <f t="shared" si="30"/>
        <v>11324000</v>
      </c>
      <c r="F467" s="365">
        <f t="shared" si="30"/>
        <v>11324000</v>
      </c>
      <c r="G467" s="366">
        <f t="shared" si="29"/>
        <v>1</v>
      </c>
      <c r="H467" s="610"/>
    </row>
    <row r="468" spans="1:8" ht="29.25" customHeight="1">
      <c r="A468" s="351"/>
      <c r="B468" s="358"/>
      <c r="C468" s="638" t="s">
        <v>588</v>
      </c>
      <c r="D468" s="392">
        <v>11299000</v>
      </c>
      <c r="E468" s="393">
        <v>11324000</v>
      </c>
      <c r="F468" s="392">
        <v>11324000</v>
      </c>
      <c r="G468" s="639">
        <f t="shared" si="29"/>
        <v>1</v>
      </c>
      <c r="H468" s="614"/>
    </row>
    <row r="469" spans="1:8" ht="19.5" customHeight="1">
      <c r="A469" s="177">
        <v>851</v>
      </c>
      <c r="B469" s="58"/>
      <c r="C469" s="59" t="s">
        <v>393</v>
      </c>
      <c r="D469" s="421">
        <f>D472</f>
        <v>2845000</v>
      </c>
      <c r="E469" s="420">
        <f>E470+E472</f>
        <v>2891323</v>
      </c>
      <c r="F469" s="420">
        <f>F470+F472</f>
        <v>2605163</v>
      </c>
      <c r="G469" s="422">
        <f t="shared" si="29"/>
        <v>0.9010280069020307</v>
      </c>
      <c r="H469" s="606"/>
    </row>
    <row r="470" spans="1:16" s="335" customFormat="1" ht="19.5" customHeight="1">
      <c r="A470" s="330"/>
      <c r="B470" s="249">
        <v>85141</v>
      </c>
      <c r="C470" s="640" t="s">
        <v>589</v>
      </c>
      <c r="D470" s="641"/>
      <c r="E470" s="642">
        <f>E471</f>
        <v>150000</v>
      </c>
      <c r="F470" s="642">
        <f>F471</f>
        <v>150000</v>
      </c>
      <c r="G470" s="643">
        <f t="shared" si="29"/>
        <v>1</v>
      </c>
      <c r="H470" s="644"/>
      <c r="I470" s="333"/>
      <c r="J470" s="334"/>
      <c r="K470" s="334"/>
      <c r="L470" s="334"/>
      <c r="M470" s="334"/>
      <c r="N470" s="334"/>
      <c r="O470" s="334"/>
      <c r="P470" s="334"/>
    </row>
    <row r="471" spans="1:16" s="335" customFormat="1" ht="27" customHeight="1">
      <c r="A471" s="336"/>
      <c r="B471" s="268"/>
      <c r="C471" s="645" t="s">
        <v>590</v>
      </c>
      <c r="D471" s="646"/>
      <c r="E471" s="647">
        <v>150000</v>
      </c>
      <c r="F471" s="647">
        <v>150000</v>
      </c>
      <c r="G471" s="648">
        <f t="shared" si="29"/>
        <v>1</v>
      </c>
      <c r="H471" s="649"/>
      <c r="I471" s="333"/>
      <c r="J471" s="334"/>
      <c r="K471" s="334"/>
      <c r="L471" s="334"/>
      <c r="M471" s="334"/>
      <c r="N471" s="334"/>
      <c r="O471" s="334"/>
      <c r="P471" s="334"/>
    </row>
    <row r="472" spans="1:8" ht="29.25" customHeight="1">
      <c r="A472" s="339"/>
      <c r="B472" s="340">
        <v>85156</v>
      </c>
      <c r="C472" s="609" t="s">
        <v>591</v>
      </c>
      <c r="D472" s="364">
        <f>SUM(D473:D474)</f>
        <v>2845000</v>
      </c>
      <c r="E472" s="365">
        <f>SUM(E473:E474)</f>
        <v>2741323</v>
      </c>
      <c r="F472" s="365">
        <f>SUM(F473:F474)</f>
        <v>2455163</v>
      </c>
      <c r="G472" s="366">
        <f t="shared" si="29"/>
        <v>0.895612446982716</v>
      </c>
      <c r="H472" s="610"/>
    </row>
    <row r="473" spans="1:8" ht="27.75" customHeight="1">
      <c r="A473" s="345"/>
      <c r="B473" s="403"/>
      <c r="C473" s="623" t="s">
        <v>592</v>
      </c>
      <c r="D473" s="650">
        <v>113000</v>
      </c>
      <c r="E473" s="651">
        <v>109323</v>
      </c>
      <c r="F473" s="650">
        <v>109287</v>
      </c>
      <c r="G473" s="652">
        <f t="shared" si="29"/>
        <v>0.9996707005845065</v>
      </c>
      <c r="H473" s="627"/>
    </row>
    <row r="474" spans="1:9" s="7" customFormat="1" ht="27.75" customHeight="1">
      <c r="A474" s="351"/>
      <c r="B474" s="352"/>
      <c r="C474" s="353" t="s">
        <v>593</v>
      </c>
      <c r="D474" s="653">
        <v>2732000</v>
      </c>
      <c r="E474" s="654">
        <v>2632000</v>
      </c>
      <c r="F474" s="653">
        <v>2345876</v>
      </c>
      <c r="G474" s="655">
        <f t="shared" si="29"/>
        <v>0.891290273556231</v>
      </c>
      <c r="H474" s="555"/>
      <c r="I474" s="6"/>
    </row>
    <row r="475" spans="1:8" ht="18.75" customHeight="1">
      <c r="A475" s="177">
        <v>853</v>
      </c>
      <c r="B475" s="58"/>
      <c r="C475" s="59" t="s">
        <v>395</v>
      </c>
      <c r="D475" s="421">
        <f>D476+D478+D481+D484+D486+D488</f>
        <v>3983000</v>
      </c>
      <c r="E475" s="420">
        <f>E476+E478+E481+E484+E486+E488</f>
        <v>4039243</v>
      </c>
      <c r="F475" s="420">
        <f>F476+F478+F481+F484+F486+F488</f>
        <v>4036333</v>
      </c>
      <c r="G475" s="422">
        <f t="shared" si="29"/>
        <v>0.9992795679784554</v>
      </c>
      <c r="H475" s="606"/>
    </row>
    <row r="476" spans="1:8" ht="19.5" customHeight="1">
      <c r="A476" s="345"/>
      <c r="B476" s="178">
        <v>85303</v>
      </c>
      <c r="C476" s="90" t="s">
        <v>396</v>
      </c>
      <c r="D476" s="563">
        <f>D477</f>
        <v>1584000</v>
      </c>
      <c r="E476" s="562">
        <f>E477</f>
        <v>1648722</v>
      </c>
      <c r="F476" s="562">
        <f>F477</f>
        <v>1648722</v>
      </c>
      <c r="G476" s="564">
        <f t="shared" si="29"/>
        <v>1</v>
      </c>
      <c r="H476" s="656"/>
    </row>
    <row r="477" spans="1:9" s="7" customFormat="1" ht="19.5" customHeight="1">
      <c r="A477" s="345"/>
      <c r="B477" s="274"/>
      <c r="C477" s="367" t="s">
        <v>594</v>
      </c>
      <c r="D477" s="392">
        <v>1584000</v>
      </c>
      <c r="E477" s="393">
        <v>1648722</v>
      </c>
      <c r="F477" s="392">
        <v>1648722</v>
      </c>
      <c r="G477" s="639">
        <f t="shared" si="29"/>
        <v>1</v>
      </c>
      <c r="H477" s="569"/>
      <c r="I477" s="6"/>
    </row>
    <row r="478" spans="1:8" ht="19.5" customHeight="1">
      <c r="A478" s="345"/>
      <c r="B478" s="66">
        <v>85316</v>
      </c>
      <c r="C478" s="609" t="s">
        <v>481</v>
      </c>
      <c r="D478" s="364">
        <f>SUM(D479:D479)</f>
        <v>40000</v>
      </c>
      <c r="E478" s="365">
        <f>SUM(E479:E479)</f>
        <v>25500</v>
      </c>
      <c r="F478" s="365">
        <f>F479</f>
        <v>25178</v>
      </c>
      <c r="G478" s="366">
        <f t="shared" si="29"/>
        <v>0.9873725490196078</v>
      </c>
      <c r="H478" s="610"/>
    </row>
    <row r="479" spans="1:8" ht="19.5" customHeight="1">
      <c r="A479" s="345"/>
      <c r="B479" s="39"/>
      <c r="C479" s="657" t="s">
        <v>595</v>
      </c>
      <c r="D479" s="526">
        <v>40000</v>
      </c>
      <c r="E479" s="525">
        <v>25500</v>
      </c>
      <c r="F479" s="526">
        <v>25178</v>
      </c>
      <c r="G479" s="613">
        <f t="shared" si="29"/>
        <v>0.9873725490196078</v>
      </c>
      <c r="H479" s="627"/>
    </row>
    <row r="480" spans="1:8" ht="19.5" customHeight="1">
      <c r="A480" s="370"/>
      <c r="B480" s="316"/>
      <c r="C480" s="634"/>
      <c r="D480" s="587"/>
      <c r="E480" s="587"/>
      <c r="F480" s="587"/>
      <c r="G480" s="588"/>
      <c r="H480" s="591"/>
    </row>
    <row r="481" spans="1:8" ht="19.5" customHeight="1">
      <c r="A481" s="345"/>
      <c r="B481" s="340">
        <v>85321</v>
      </c>
      <c r="C481" s="609" t="s">
        <v>596</v>
      </c>
      <c r="D481" s="364">
        <f>D482+D483</f>
        <v>350000</v>
      </c>
      <c r="E481" s="365">
        <f>E482+E483</f>
        <v>381200</v>
      </c>
      <c r="F481" s="365">
        <f>F482+F483</f>
        <v>381171</v>
      </c>
      <c r="G481" s="366">
        <f aca="true" t="shared" si="31" ref="G481:G487">F481/E481</f>
        <v>0.999923924449108</v>
      </c>
      <c r="H481" s="632"/>
    </row>
    <row r="482" spans="1:8" ht="27.75" customHeight="1">
      <c r="A482" s="345"/>
      <c r="B482" s="346"/>
      <c r="C482" s="637" t="s">
        <v>597</v>
      </c>
      <c r="D482" s="348">
        <v>340000</v>
      </c>
      <c r="E482" s="348">
        <v>371200</v>
      </c>
      <c r="F482" s="348">
        <v>371200</v>
      </c>
      <c r="G482" s="349">
        <f t="shared" si="31"/>
        <v>1</v>
      </c>
      <c r="H482" s="614"/>
    </row>
    <row r="483" spans="1:8" ht="26.25" customHeight="1">
      <c r="A483" s="345"/>
      <c r="B483" s="403"/>
      <c r="C483" s="658" t="s">
        <v>598</v>
      </c>
      <c r="D483" s="659">
        <v>10000</v>
      </c>
      <c r="E483" s="660">
        <v>10000</v>
      </c>
      <c r="F483" s="659">
        <v>9971</v>
      </c>
      <c r="G483" s="661">
        <f t="shared" si="31"/>
        <v>0.9971</v>
      </c>
      <c r="H483" s="555"/>
    </row>
    <row r="484" spans="1:256" s="7" customFormat="1" ht="19.5" customHeight="1">
      <c r="A484" s="345"/>
      <c r="B484" s="358">
        <v>85331</v>
      </c>
      <c r="C484" s="399" t="s">
        <v>599</v>
      </c>
      <c r="D484" s="400">
        <f>D485</f>
        <v>257000</v>
      </c>
      <c r="E484" s="401">
        <f>E485</f>
        <v>61378</v>
      </c>
      <c r="F484" s="401">
        <f>F485</f>
        <v>58823</v>
      </c>
      <c r="G484" s="402">
        <f t="shared" si="31"/>
        <v>0.9583727068330672</v>
      </c>
      <c r="H484" s="552"/>
      <c r="I484" s="6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  <c r="HE484" s="8"/>
      <c r="HF484" s="8"/>
      <c r="HG484" s="8"/>
      <c r="HH484" s="8"/>
      <c r="HI484" s="8"/>
      <c r="HJ484" s="8"/>
      <c r="HK484" s="8"/>
      <c r="HL484" s="8"/>
      <c r="HM484" s="8"/>
      <c r="HN484" s="8"/>
      <c r="HO484" s="8"/>
      <c r="HP484" s="8"/>
      <c r="HQ484" s="8"/>
      <c r="HR484" s="8"/>
      <c r="HS484" s="8"/>
      <c r="HT484" s="8"/>
      <c r="HU484" s="8"/>
      <c r="HV484" s="8"/>
      <c r="HW484" s="8"/>
      <c r="HX484" s="8"/>
      <c r="HY484" s="8"/>
      <c r="HZ484" s="8"/>
      <c r="IA484" s="8"/>
      <c r="IB484" s="8"/>
      <c r="IC484" s="8"/>
      <c r="ID484" s="8"/>
      <c r="IE484" s="8"/>
      <c r="IF484" s="8"/>
      <c r="IG484" s="8"/>
      <c r="IH484" s="8"/>
      <c r="II484" s="8"/>
      <c r="IJ484" s="8"/>
      <c r="IK484" s="8"/>
      <c r="IL484" s="8"/>
      <c r="IM484" s="8"/>
      <c r="IN484" s="8"/>
      <c r="IO484" s="8"/>
      <c r="IP484" s="8"/>
      <c r="IQ484" s="8"/>
      <c r="IR484" s="8"/>
      <c r="IS484" s="8"/>
      <c r="IT484" s="8"/>
      <c r="IU484" s="8"/>
      <c r="IV484" s="8"/>
    </row>
    <row r="485" spans="1:256" s="7" customFormat="1" ht="27.75" customHeight="1">
      <c r="A485" s="345"/>
      <c r="B485" s="352"/>
      <c r="C485" s="638" t="s">
        <v>600</v>
      </c>
      <c r="D485" s="354">
        <v>257000</v>
      </c>
      <c r="E485" s="404">
        <v>61378</v>
      </c>
      <c r="F485" s="354">
        <v>58823</v>
      </c>
      <c r="G485" s="355">
        <f t="shared" si="31"/>
        <v>0.9583727068330672</v>
      </c>
      <c r="H485" s="555"/>
      <c r="I485" s="6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  <c r="HE485" s="8"/>
      <c r="HF485" s="8"/>
      <c r="HG485" s="8"/>
      <c r="HH485" s="8"/>
      <c r="HI485" s="8"/>
      <c r="HJ485" s="8"/>
      <c r="HK485" s="8"/>
      <c r="HL485" s="8"/>
      <c r="HM485" s="8"/>
      <c r="HN485" s="8"/>
      <c r="HO485" s="8"/>
      <c r="HP485" s="8"/>
      <c r="HQ485" s="8"/>
      <c r="HR485" s="8"/>
      <c r="HS485" s="8"/>
      <c r="HT485" s="8"/>
      <c r="HU485" s="8"/>
      <c r="HV485" s="8"/>
      <c r="HW485" s="8"/>
      <c r="HX485" s="8"/>
      <c r="HY485" s="8"/>
      <c r="HZ485" s="8"/>
      <c r="IA485" s="8"/>
      <c r="IB485" s="8"/>
      <c r="IC485" s="8"/>
      <c r="ID485" s="8"/>
      <c r="IE485" s="8"/>
      <c r="IF485" s="8"/>
      <c r="IG485" s="8"/>
      <c r="IH485" s="8"/>
      <c r="II485" s="8"/>
      <c r="IJ485" s="8"/>
      <c r="IK485" s="8"/>
      <c r="IL485" s="8"/>
      <c r="IM485" s="8"/>
      <c r="IN485" s="8"/>
      <c r="IO485" s="8"/>
      <c r="IP485" s="8"/>
      <c r="IQ485" s="8"/>
      <c r="IR485" s="8"/>
      <c r="IS485" s="8"/>
      <c r="IT485" s="8"/>
      <c r="IU485" s="8"/>
      <c r="IV485" s="8"/>
    </row>
    <row r="486" spans="1:256" s="7" customFormat="1" ht="19.5" customHeight="1">
      <c r="A486" s="345"/>
      <c r="B486" s="340">
        <v>85333</v>
      </c>
      <c r="C486" s="340" t="s">
        <v>528</v>
      </c>
      <c r="D486" s="341">
        <f>SUM(D487:D487)</f>
        <v>1752000</v>
      </c>
      <c r="E486" s="342">
        <f>SUM(E487:E487)</f>
        <v>1829572</v>
      </c>
      <c r="F486" s="342">
        <f>F487</f>
        <v>1829572</v>
      </c>
      <c r="G486" s="343">
        <f t="shared" si="31"/>
        <v>1</v>
      </c>
      <c r="H486" s="582"/>
      <c r="I486" s="6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  <c r="HE486" s="8"/>
      <c r="HF486" s="8"/>
      <c r="HG486" s="8"/>
      <c r="HH486" s="8"/>
      <c r="HI486" s="8"/>
      <c r="HJ486" s="8"/>
      <c r="HK486" s="8"/>
      <c r="HL486" s="8"/>
      <c r="HM486" s="8"/>
      <c r="HN486" s="8"/>
      <c r="HO486" s="8"/>
      <c r="HP486" s="8"/>
      <c r="HQ486" s="8"/>
      <c r="HR486" s="8"/>
      <c r="HS486" s="8"/>
      <c r="HT486" s="8"/>
      <c r="HU486" s="8"/>
      <c r="HV486" s="8"/>
      <c r="HW486" s="8"/>
      <c r="HX486" s="8"/>
      <c r="HY486" s="8"/>
      <c r="HZ486" s="8"/>
      <c r="IA486" s="8"/>
      <c r="IB486" s="8"/>
      <c r="IC486" s="8"/>
      <c r="ID486" s="8"/>
      <c r="IE486" s="8"/>
      <c r="IF486" s="8"/>
      <c r="IG486" s="8"/>
      <c r="IH486" s="8"/>
      <c r="II486" s="8"/>
      <c r="IJ486" s="8"/>
      <c r="IK486" s="8"/>
      <c r="IL486" s="8"/>
      <c r="IM486" s="8"/>
      <c r="IN486" s="8"/>
      <c r="IO486" s="8"/>
      <c r="IP486" s="8"/>
      <c r="IQ486" s="8"/>
      <c r="IR486" s="8"/>
      <c r="IS486" s="8"/>
      <c r="IT486" s="8"/>
      <c r="IU486" s="8"/>
      <c r="IV486" s="8"/>
    </row>
    <row r="487" spans="1:256" s="7" customFormat="1" ht="19.5" customHeight="1">
      <c r="A487" s="345"/>
      <c r="B487" s="358"/>
      <c r="C487" s="367" t="s">
        <v>558</v>
      </c>
      <c r="D487" s="392">
        <v>1752000</v>
      </c>
      <c r="E487" s="392">
        <v>1829572</v>
      </c>
      <c r="F487" s="392">
        <v>1829572</v>
      </c>
      <c r="G487" s="639">
        <f t="shared" si="31"/>
        <v>1</v>
      </c>
      <c r="H487" s="569"/>
      <c r="I487" s="6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  <c r="HE487" s="8"/>
      <c r="HF487" s="8"/>
      <c r="HG487" s="8"/>
      <c r="HH487" s="8"/>
      <c r="HI487" s="8"/>
      <c r="HJ487" s="8"/>
      <c r="HK487" s="8"/>
      <c r="HL487" s="8"/>
      <c r="HM487" s="8"/>
      <c r="HN487" s="8"/>
      <c r="HO487" s="8"/>
      <c r="HP487" s="8"/>
      <c r="HQ487" s="8"/>
      <c r="HR487" s="8"/>
      <c r="HS487" s="8"/>
      <c r="HT487" s="8"/>
      <c r="HU487" s="8"/>
      <c r="HV487" s="8"/>
      <c r="HW487" s="8"/>
      <c r="HX487" s="8"/>
      <c r="HY487" s="8"/>
      <c r="HZ487" s="8"/>
      <c r="IA487" s="8"/>
      <c r="IB487" s="8"/>
      <c r="IC487" s="8"/>
      <c r="ID487" s="8"/>
      <c r="IE487" s="8"/>
      <c r="IF487" s="8"/>
      <c r="IG487" s="8"/>
      <c r="IH487" s="8"/>
      <c r="II487" s="8"/>
      <c r="IJ487" s="8"/>
      <c r="IK487" s="8"/>
      <c r="IL487" s="8"/>
      <c r="IM487" s="8"/>
      <c r="IN487" s="8"/>
      <c r="IO487" s="8"/>
      <c r="IP487" s="8"/>
      <c r="IQ487" s="8"/>
      <c r="IR487" s="8"/>
      <c r="IS487" s="8"/>
      <c r="IT487" s="8"/>
      <c r="IU487" s="8"/>
      <c r="IV487" s="8"/>
    </row>
    <row r="488" spans="1:9" s="430" customFormat="1" ht="19.5" customHeight="1">
      <c r="A488" s="662"/>
      <c r="B488" s="663">
        <v>85334</v>
      </c>
      <c r="C488" s="663" t="s">
        <v>486</v>
      </c>
      <c r="D488" s="664"/>
      <c r="E488" s="665">
        <f>E489</f>
        <v>92871</v>
      </c>
      <c r="F488" s="665">
        <f>F489</f>
        <v>92867</v>
      </c>
      <c r="G488" s="666">
        <v>0.9999</v>
      </c>
      <c r="H488" s="667"/>
      <c r="I488" s="429"/>
    </row>
    <row r="489" spans="1:9" s="297" customFormat="1" ht="19.5" customHeight="1">
      <c r="A489" s="668"/>
      <c r="B489" s="669"/>
      <c r="C489" s="669" t="s">
        <v>487</v>
      </c>
      <c r="D489" s="670"/>
      <c r="E489" s="671">
        <v>92871</v>
      </c>
      <c r="F489" s="671">
        <v>92867</v>
      </c>
      <c r="G489" s="672">
        <v>0.9999</v>
      </c>
      <c r="H489" s="673"/>
      <c r="I489" s="296"/>
    </row>
    <row r="490" spans="1:9" s="297" customFormat="1" ht="12.75">
      <c r="A490"/>
      <c r="B490"/>
      <c r="E490"/>
      <c r="F490"/>
      <c r="G490" s="674"/>
      <c r="H490"/>
      <c r="I490" s="296"/>
    </row>
    <row r="493" ht="12.75">
      <c r="F493" s="1980" t="s">
        <v>449</v>
      </c>
    </row>
    <row r="494" ht="12.75">
      <c r="F494" s="1980" t="s">
        <v>450</v>
      </c>
    </row>
    <row r="495" ht="12.75">
      <c r="F495" s="1980" t="s">
        <v>451</v>
      </c>
    </row>
  </sheetData>
  <mergeCells count="4">
    <mergeCell ref="D6:D7"/>
    <mergeCell ref="G6:G7"/>
    <mergeCell ref="E6:E7"/>
    <mergeCell ref="F6:F7"/>
  </mergeCells>
  <printOptions/>
  <pageMargins left="0.5118110236220472" right="0.4330708661417323" top="0.7086614173228347" bottom="0.7086614173228347" header="0.5118110236220472" footer="0.5118110236220472"/>
  <pageSetup firstPageNumber="3" useFirstPageNumber="1" horizontalDpi="600" verticalDpi="600" orientation="landscape" paperSize="9" scale="8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42"/>
  <sheetViews>
    <sheetView zoomScale="75" zoomScaleNormal="75" workbookViewId="0" topLeftCell="A1">
      <selection activeCell="I40" sqref="I40:I42"/>
    </sheetView>
  </sheetViews>
  <sheetFormatPr defaultColWidth="9.00390625" defaultRowHeight="12.75"/>
  <cols>
    <col min="1" max="1" width="7.00390625" style="1552" customWidth="1"/>
    <col min="2" max="2" width="11.75390625" style="1552" customWidth="1"/>
    <col min="3" max="3" width="43.875" style="1552" customWidth="1"/>
    <col min="4" max="5" width="0.12890625" style="1552" hidden="1" customWidth="1"/>
    <col min="6" max="6" width="22.875" style="1553" customWidth="1"/>
    <col min="7" max="7" width="14.00390625" style="1552" hidden="1" customWidth="1"/>
    <col min="8" max="9" width="22.875" style="1553" customWidth="1"/>
    <col min="10" max="10" width="21.25390625" style="1553" customWidth="1"/>
    <col min="11" max="11" width="22.25390625" style="0" customWidth="1"/>
    <col min="12" max="16" width="14.125" style="0" hidden="1" customWidth="1"/>
    <col min="17" max="17" width="14.125" style="0" customWidth="1"/>
  </cols>
  <sheetData>
    <row r="1" spans="1:64" s="869" customFormat="1" ht="18" customHeight="1">
      <c r="A1" s="1968"/>
      <c r="B1" s="1969"/>
      <c r="C1" s="1969"/>
      <c r="D1" s="1500"/>
      <c r="E1" s="1500"/>
      <c r="F1" s="1501"/>
      <c r="G1" s="1502"/>
      <c r="H1" s="1501"/>
      <c r="I1" s="1503" t="s">
        <v>101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869" customFormat="1" ht="16.5" customHeight="1">
      <c r="A2" s="1504" t="s">
        <v>102</v>
      </c>
      <c r="B2" s="1499"/>
      <c r="C2" s="1499"/>
      <c r="D2" s="1500"/>
      <c r="E2" s="1500"/>
      <c r="F2" s="1501"/>
      <c r="G2" s="1502"/>
      <c r="H2" s="1501"/>
      <c r="I2" s="3" t="s">
        <v>977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s="869" customFormat="1" ht="15.75" customHeight="1">
      <c r="A3" s="1498"/>
      <c r="B3" s="1499"/>
      <c r="C3" s="1499"/>
      <c r="D3" s="1500"/>
      <c r="E3" s="1500"/>
      <c r="F3" s="1501"/>
      <c r="G3" s="1502"/>
      <c r="H3" s="1501"/>
      <c r="I3" s="11" t="s">
        <v>292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s="869" customFormat="1" ht="15.75" customHeight="1">
      <c r="A4" s="1498"/>
      <c r="B4" s="1499"/>
      <c r="C4" s="1499"/>
      <c r="D4" s="1500"/>
      <c r="E4" s="1500"/>
      <c r="F4" s="1501"/>
      <c r="G4" s="1502"/>
      <c r="H4" s="1501"/>
      <c r="I4" s="11" t="s">
        <v>978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s="1509" customFormat="1" ht="12" customHeight="1" thickBot="1">
      <c r="A5" s="1505"/>
      <c r="B5" s="1505"/>
      <c r="C5" s="1506"/>
      <c r="D5" s="1507"/>
      <c r="E5" s="1507"/>
      <c r="F5" s="1505"/>
      <c r="G5" s="1505" t="s">
        <v>297</v>
      </c>
      <c r="H5" s="1505"/>
      <c r="I5" s="1508"/>
      <c r="J5" s="1508" t="s">
        <v>297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10" ht="37.5" customHeight="1" thickBot="1" thickTop="1">
      <c r="A6" s="1510" t="s">
        <v>303</v>
      </c>
      <c r="B6" s="1510" t="s">
        <v>607</v>
      </c>
      <c r="C6" s="1510" t="s">
        <v>603</v>
      </c>
      <c r="D6" s="1511" t="s">
        <v>103</v>
      </c>
      <c r="E6" s="1511"/>
      <c r="F6" s="1512" t="s">
        <v>299</v>
      </c>
      <c r="G6" s="1513" t="s">
        <v>104</v>
      </c>
      <c r="H6" s="1512" t="s">
        <v>105</v>
      </c>
      <c r="I6" s="1512" t="s">
        <v>106</v>
      </c>
      <c r="J6" s="1512" t="s">
        <v>958</v>
      </c>
    </row>
    <row r="7" spans="1:64" s="1516" customFormat="1" ht="13.5" customHeight="1" thickBot="1" thickTop="1">
      <c r="A7" s="1514">
        <v>1</v>
      </c>
      <c r="B7" s="1514">
        <v>2</v>
      </c>
      <c r="C7" s="1267">
        <v>3</v>
      </c>
      <c r="D7" s="1514">
        <v>4</v>
      </c>
      <c r="E7" s="1514"/>
      <c r="F7" s="1514">
        <v>4</v>
      </c>
      <c r="G7" s="1514">
        <v>6</v>
      </c>
      <c r="H7" s="1514">
        <v>5</v>
      </c>
      <c r="I7" s="1514">
        <v>6</v>
      </c>
      <c r="J7" s="1514">
        <v>7</v>
      </c>
      <c r="K7" s="1515"/>
      <c r="L7" s="1515"/>
      <c r="M7" s="1515"/>
      <c r="N7" s="1515"/>
      <c r="O7" s="1515"/>
      <c r="P7" s="1515"/>
      <c r="Q7" s="1515"/>
      <c r="R7" s="1515"/>
      <c r="S7" s="1515"/>
      <c r="T7" s="1515"/>
      <c r="U7" s="1515"/>
      <c r="V7" s="1515"/>
      <c r="W7" s="1515"/>
      <c r="X7" s="1515"/>
      <c r="Y7" s="1515"/>
      <c r="Z7" s="1515"/>
      <c r="AA7" s="1515"/>
      <c r="AB7" s="1515"/>
      <c r="AC7" s="1515"/>
      <c r="AD7" s="1515"/>
      <c r="AE7" s="1515"/>
      <c r="AF7" s="1515"/>
      <c r="AG7" s="1515"/>
      <c r="AH7" s="1515"/>
      <c r="AI7" s="1515"/>
      <c r="AJ7" s="1515"/>
      <c r="AK7" s="1515"/>
      <c r="AL7" s="1515"/>
      <c r="AM7" s="1515"/>
      <c r="AN7" s="1515"/>
      <c r="AO7" s="1515"/>
      <c r="AP7" s="1515"/>
      <c r="AQ7" s="1515"/>
      <c r="AR7" s="1515"/>
      <c r="AS7" s="1515"/>
      <c r="AT7" s="1515"/>
      <c r="AU7" s="1515"/>
      <c r="AV7" s="1515"/>
      <c r="AW7" s="1515"/>
      <c r="AX7" s="1515"/>
      <c r="AY7" s="1515"/>
      <c r="AZ7" s="1515"/>
      <c r="BA7" s="1515"/>
      <c r="BB7" s="1515"/>
      <c r="BC7" s="1515"/>
      <c r="BD7" s="1515"/>
      <c r="BE7" s="1515"/>
      <c r="BF7" s="1515"/>
      <c r="BG7" s="1515"/>
      <c r="BH7" s="1515"/>
      <c r="BI7" s="1515"/>
      <c r="BJ7" s="1515"/>
      <c r="BK7" s="1515"/>
      <c r="BL7" s="1515"/>
    </row>
    <row r="8" spans="1:64" s="1522" customFormat="1" ht="18" customHeight="1" thickTop="1">
      <c r="A8" s="1517">
        <v>750</v>
      </c>
      <c r="B8" s="1518"/>
      <c r="C8" s="1519" t="s">
        <v>336</v>
      </c>
      <c r="D8" s="1520">
        <f>D9</f>
        <v>18200</v>
      </c>
      <c r="E8" s="1520"/>
      <c r="F8" s="1520">
        <f>F9</f>
        <v>400000</v>
      </c>
      <c r="G8" s="1520">
        <f>G9</f>
        <v>7.526031746031745</v>
      </c>
      <c r="H8" s="1520">
        <f>H9</f>
        <v>400000</v>
      </c>
      <c r="I8" s="1520">
        <f>I9</f>
        <v>372595</v>
      </c>
      <c r="J8" s="1521">
        <f aca="true" t="shared" si="0" ref="J8:J37">I8/H8</f>
        <v>0.9314875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s="1528" customFormat="1" ht="18" customHeight="1">
      <c r="A9" s="1523"/>
      <c r="B9" s="1524">
        <v>75022</v>
      </c>
      <c r="C9" s="1525" t="s">
        <v>647</v>
      </c>
      <c r="D9" s="1526">
        <f>SUM(D10:D13)</f>
        <v>18200</v>
      </c>
      <c r="E9" s="1526"/>
      <c r="F9" s="1526">
        <f>SUM(F10:F37)</f>
        <v>400000</v>
      </c>
      <c r="G9" s="1526">
        <f>SUM(G10:G37)</f>
        <v>7.526031746031745</v>
      </c>
      <c r="H9" s="1526">
        <f>SUM(H10:H37)</f>
        <v>400000</v>
      </c>
      <c r="I9" s="1526">
        <f>SUM(I10:I37)</f>
        <v>372595</v>
      </c>
      <c r="J9" s="1527">
        <f t="shared" si="0"/>
        <v>0.9314875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s="1533" customFormat="1" ht="16.5" customHeight="1">
      <c r="A10" s="1529"/>
      <c r="B10" s="1530"/>
      <c r="C10" s="1182" t="s">
        <v>107</v>
      </c>
      <c r="D10" s="1531">
        <v>6400</v>
      </c>
      <c r="E10" s="1531"/>
      <c r="F10" s="1183">
        <v>13440</v>
      </c>
      <c r="G10" s="1532">
        <f>F10/D10</f>
        <v>2.1</v>
      </c>
      <c r="H10" s="1183">
        <v>11440</v>
      </c>
      <c r="I10" s="550">
        <v>10740</v>
      </c>
      <c r="J10" s="1202">
        <f t="shared" si="0"/>
        <v>0.9388111888111889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s="1541" customFormat="1" ht="16.5" customHeight="1">
      <c r="A11" s="1534"/>
      <c r="B11" s="1534"/>
      <c r="C11" s="1535" t="s">
        <v>108</v>
      </c>
      <c r="D11" s="1536">
        <v>6300</v>
      </c>
      <c r="E11" s="1536"/>
      <c r="F11" s="1537">
        <v>16040</v>
      </c>
      <c r="G11" s="1538">
        <f>F11/D11</f>
        <v>2.546031746031746</v>
      </c>
      <c r="H11" s="1537">
        <v>16040</v>
      </c>
      <c r="I11" s="1539">
        <v>15242</v>
      </c>
      <c r="J11" s="1540">
        <f t="shared" si="0"/>
        <v>0.9502493765586035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s="1541" customFormat="1" ht="16.5" customHeight="1">
      <c r="A12" s="1534"/>
      <c r="B12" s="1534"/>
      <c r="C12" s="1535" t="s">
        <v>109</v>
      </c>
      <c r="D12" s="1536"/>
      <c r="E12" s="1536"/>
      <c r="F12" s="1537">
        <v>15840</v>
      </c>
      <c r="G12" s="1538"/>
      <c r="H12" s="1537">
        <v>13840</v>
      </c>
      <c r="I12" s="1539">
        <v>10700</v>
      </c>
      <c r="J12" s="1540">
        <f t="shared" si="0"/>
        <v>0.773121387283237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s="1541" customFormat="1" ht="16.5" customHeight="1">
      <c r="A13" s="1534"/>
      <c r="B13" s="1534"/>
      <c r="C13" s="1535" t="s">
        <v>110</v>
      </c>
      <c r="D13" s="1536">
        <v>5500</v>
      </c>
      <c r="E13" s="1536"/>
      <c r="F13" s="1537">
        <v>15840</v>
      </c>
      <c r="G13" s="1538">
        <f>F13/D13</f>
        <v>2.88</v>
      </c>
      <c r="H13" s="1537">
        <v>14840</v>
      </c>
      <c r="I13" s="1539">
        <v>13789</v>
      </c>
      <c r="J13" s="1540">
        <f t="shared" si="0"/>
        <v>0.929177897574124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s="1544" customFormat="1" ht="16.5" customHeight="1">
      <c r="A14" s="1542"/>
      <c r="B14" s="1542"/>
      <c r="C14" s="1535" t="s">
        <v>111</v>
      </c>
      <c r="D14" s="1543"/>
      <c r="E14" s="1543"/>
      <c r="F14" s="1537">
        <v>10940</v>
      </c>
      <c r="G14" s="1543"/>
      <c r="H14" s="1537">
        <v>11940</v>
      </c>
      <c r="I14" s="1539">
        <v>10769</v>
      </c>
      <c r="J14" s="1540">
        <f t="shared" si="0"/>
        <v>0.901926298157454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s="1547" customFormat="1" ht="16.5" customHeight="1">
      <c r="A15" s="1545"/>
      <c r="B15" s="1545"/>
      <c r="C15" s="1535" t="s">
        <v>112</v>
      </c>
      <c r="D15" s="1546"/>
      <c r="E15" s="1546"/>
      <c r="F15" s="1537">
        <v>13940</v>
      </c>
      <c r="G15" s="1546"/>
      <c r="H15" s="1537">
        <v>14940</v>
      </c>
      <c r="I15" s="550">
        <v>14450</v>
      </c>
      <c r="J15" s="1540">
        <f t="shared" si="0"/>
        <v>0.9672021419009371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s="1547" customFormat="1" ht="16.5" customHeight="1">
      <c r="A16" s="1545"/>
      <c r="B16" s="1545"/>
      <c r="C16" s="1535" t="s">
        <v>113</v>
      </c>
      <c r="D16" s="1546"/>
      <c r="E16" s="1546"/>
      <c r="F16" s="1537">
        <v>10940</v>
      </c>
      <c r="G16" s="1546"/>
      <c r="H16" s="1537">
        <v>10940</v>
      </c>
      <c r="I16" s="1539">
        <v>10298</v>
      </c>
      <c r="J16" s="1540">
        <f t="shared" si="0"/>
        <v>0.9413162705667276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s="1547" customFormat="1" ht="16.5" customHeight="1">
      <c r="A17" s="1545"/>
      <c r="B17" s="1545"/>
      <c r="C17" s="1535" t="s">
        <v>114</v>
      </c>
      <c r="D17" s="1546"/>
      <c r="E17" s="1546"/>
      <c r="F17" s="1537">
        <v>15440</v>
      </c>
      <c r="G17" s="1546"/>
      <c r="H17" s="1537">
        <v>15440</v>
      </c>
      <c r="I17" s="1539">
        <v>14797</v>
      </c>
      <c r="J17" s="1540">
        <f t="shared" si="0"/>
        <v>0.9583549222797928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s="1547" customFormat="1" ht="16.5" customHeight="1">
      <c r="A18" s="1545"/>
      <c r="B18" s="1545"/>
      <c r="C18" s="1535" t="s">
        <v>115</v>
      </c>
      <c r="D18" s="1546"/>
      <c r="E18" s="1546"/>
      <c r="F18" s="1537">
        <v>14840</v>
      </c>
      <c r="G18" s="1546"/>
      <c r="H18" s="1537">
        <v>14840</v>
      </c>
      <c r="I18" s="1539">
        <v>14642</v>
      </c>
      <c r="J18" s="1540">
        <f t="shared" si="0"/>
        <v>0.9866576819407008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s="1547" customFormat="1" ht="16.5" customHeight="1">
      <c r="A19" s="1545"/>
      <c r="B19" s="1545"/>
      <c r="C19" s="1535" t="s">
        <v>116</v>
      </c>
      <c r="D19" s="1546"/>
      <c r="E19" s="1546"/>
      <c r="F19" s="1537">
        <v>14140</v>
      </c>
      <c r="G19" s="1546"/>
      <c r="H19" s="1537">
        <v>14140</v>
      </c>
      <c r="I19" s="1539">
        <v>13687</v>
      </c>
      <c r="J19" s="1540">
        <f t="shared" si="0"/>
        <v>0.967963224893918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s="1547" customFormat="1" ht="16.5" customHeight="1">
      <c r="A20" s="1545"/>
      <c r="B20" s="1545"/>
      <c r="C20" s="1535" t="s">
        <v>117</v>
      </c>
      <c r="D20" s="1546"/>
      <c r="E20" s="1546"/>
      <c r="F20" s="1537">
        <v>14440</v>
      </c>
      <c r="G20" s="1546"/>
      <c r="H20" s="1537">
        <v>15440</v>
      </c>
      <c r="I20" s="1539">
        <v>13961</v>
      </c>
      <c r="J20" s="1540">
        <f t="shared" si="0"/>
        <v>0.9042098445595855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s="1547" customFormat="1" ht="16.5" customHeight="1">
      <c r="A21" s="1545"/>
      <c r="B21" s="1545"/>
      <c r="C21" s="1535" t="s">
        <v>118</v>
      </c>
      <c r="D21" s="1546"/>
      <c r="E21" s="1546"/>
      <c r="F21" s="1537">
        <v>14240</v>
      </c>
      <c r="G21" s="1546"/>
      <c r="H21" s="1537">
        <v>14240</v>
      </c>
      <c r="I21" s="1539">
        <v>13725</v>
      </c>
      <c r="J21" s="1540">
        <f t="shared" si="0"/>
        <v>0.9638342696629213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s="1547" customFormat="1" ht="16.5" customHeight="1">
      <c r="A22" s="1545"/>
      <c r="B22" s="1545"/>
      <c r="C22" s="1535" t="s">
        <v>119</v>
      </c>
      <c r="D22" s="1546"/>
      <c r="E22" s="1546"/>
      <c r="F22" s="1537">
        <v>14760</v>
      </c>
      <c r="G22" s="1546"/>
      <c r="H22" s="1537">
        <v>14760</v>
      </c>
      <c r="I22" s="1539">
        <v>14445</v>
      </c>
      <c r="J22" s="1540">
        <f t="shared" si="0"/>
        <v>0.9786585365853658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s="1547" customFormat="1" ht="16.5" customHeight="1">
      <c r="A23" s="1545"/>
      <c r="B23" s="1545"/>
      <c r="C23" s="1535" t="s">
        <v>120</v>
      </c>
      <c r="D23" s="1546"/>
      <c r="E23" s="1546"/>
      <c r="F23" s="1537">
        <v>17140</v>
      </c>
      <c r="G23" s="1546"/>
      <c r="H23" s="1537">
        <v>16140</v>
      </c>
      <c r="I23" s="1539">
        <v>15312</v>
      </c>
      <c r="J23" s="1540">
        <f t="shared" si="0"/>
        <v>0.9486988847583643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s="1547" customFormat="1" ht="16.5" customHeight="1">
      <c r="A24" s="1545"/>
      <c r="B24" s="1545"/>
      <c r="C24" s="1535" t="s">
        <v>121</v>
      </c>
      <c r="D24" s="1546"/>
      <c r="E24" s="1546"/>
      <c r="F24" s="1537">
        <v>10940</v>
      </c>
      <c r="G24" s="1546"/>
      <c r="H24" s="1537">
        <v>10940</v>
      </c>
      <c r="I24" s="1539">
        <v>10503</v>
      </c>
      <c r="J24" s="1540">
        <f t="shared" si="0"/>
        <v>0.960054844606947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s="1547" customFormat="1" ht="16.5" customHeight="1">
      <c r="A25" s="1545"/>
      <c r="B25" s="1545"/>
      <c r="C25" s="1535" t="s">
        <v>122</v>
      </c>
      <c r="D25" s="1546"/>
      <c r="E25" s="1546"/>
      <c r="F25" s="1537">
        <v>14090</v>
      </c>
      <c r="G25" s="1546"/>
      <c r="H25" s="1537">
        <v>14090</v>
      </c>
      <c r="I25" s="1539">
        <v>13887</v>
      </c>
      <c r="J25" s="1540">
        <f t="shared" si="0"/>
        <v>0.9855926188786374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s="1547" customFormat="1" ht="16.5" customHeight="1">
      <c r="A26" s="1545"/>
      <c r="B26" s="1545"/>
      <c r="C26" s="1535" t="s">
        <v>123</v>
      </c>
      <c r="D26" s="1546"/>
      <c r="E26" s="1546"/>
      <c r="F26" s="1537">
        <v>14040</v>
      </c>
      <c r="G26" s="1546"/>
      <c r="H26" s="1537">
        <v>14040</v>
      </c>
      <c r="I26" s="1539">
        <v>13856</v>
      </c>
      <c r="J26" s="1540">
        <f t="shared" si="0"/>
        <v>0.9868945868945869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s="1547" customFormat="1" ht="16.5" customHeight="1">
      <c r="A27" s="1545"/>
      <c r="B27" s="1545"/>
      <c r="C27" s="1535" t="s">
        <v>124</v>
      </c>
      <c r="D27" s="1546"/>
      <c r="E27" s="1546"/>
      <c r="F27" s="1537">
        <v>9740</v>
      </c>
      <c r="G27" s="1546"/>
      <c r="H27" s="1537">
        <v>9740</v>
      </c>
      <c r="I27" s="1539">
        <v>9568</v>
      </c>
      <c r="J27" s="1540">
        <f t="shared" si="0"/>
        <v>0.9823408624229979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s="1547" customFormat="1" ht="16.5" customHeight="1">
      <c r="A28" s="1545"/>
      <c r="B28" s="1545"/>
      <c r="C28" s="1535" t="s">
        <v>125</v>
      </c>
      <c r="D28" s="1546"/>
      <c r="E28" s="1546"/>
      <c r="F28" s="1537">
        <v>13290</v>
      </c>
      <c r="G28" s="1546"/>
      <c r="H28" s="1537">
        <v>13290</v>
      </c>
      <c r="I28" s="1539">
        <v>13119</v>
      </c>
      <c r="J28" s="1540">
        <f t="shared" si="0"/>
        <v>0.9871331828442438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s="1547" customFormat="1" ht="16.5" customHeight="1">
      <c r="A29" s="1545"/>
      <c r="B29" s="1545"/>
      <c r="C29" s="1535" t="s">
        <v>126</v>
      </c>
      <c r="D29" s="1546"/>
      <c r="E29" s="1546"/>
      <c r="F29" s="1537">
        <v>9740</v>
      </c>
      <c r="G29" s="1546"/>
      <c r="H29" s="1537">
        <v>10740</v>
      </c>
      <c r="I29" s="1539">
        <v>9813</v>
      </c>
      <c r="J29" s="1540">
        <f t="shared" si="0"/>
        <v>0.9136871508379888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s="1547" customFormat="1" ht="16.5" customHeight="1">
      <c r="A30" s="1545"/>
      <c r="B30" s="1545"/>
      <c r="C30" s="1535" t="s">
        <v>127</v>
      </c>
      <c r="D30" s="1546"/>
      <c r="E30" s="1546"/>
      <c r="F30" s="1537">
        <v>17640</v>
      </c>
      <c r="G30" s="1546"/>
      <c r="H30" s="1537">
        <v>18640</v>
      </c>
      <c r="I30" s="1539">
        <v>18102</v>
      </c>
      <c r="J30" s="1540">
        <f t="shared" si="0"/>
        <v>0.971137339055794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s="1547" customFormat="1" ht="16.5" customHeight="1">
      <c r="A31" s="1545"/>
      <c r="B31" s="1545"/>
      <c r="C31" s="1535" t="s">
        <v>128</v>
      </c>
      <c r="D31" s="1546"/>
      <c r="E31" s="1546"/>
      <c r="F31" s="1537">
        <v>14640</v>
      </c>
      <c r="G31" s="1546"/>
      <c r="H31" s="1537">
        <v>18640</v>
      </c>
      <c r="I31" s="1539">
        <v>17034</v>
      </c>
      <c r="J31" s="1540">
        <f t="shared" si="0"/>
        <v>0.9138412017167382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s="1547" customFormat="1" ht="16.5" customHeight="1">
      <c r="A32" s="1545"/>
      <c r="B32" s="1545"/>
      <c r="C32" s="1535" t="s">
        <v>129</v>
      </c>
      <c r="D32" s="1546"/>
      <c r="E32" s="1546"/>
      <c r="F32" s="1537">
        <v>13740</v>
      </c>
      <c r="G32" s="1546"/>
      <c r="H32" s="1537">
        <v>13740</v>
      </c>
      <c r="I32" s="1539">
        <v>13233</v>
      </c>
      <c r="J32" s="1540">
        <f t="shared" si="0"/>
        <v>0.9631004366812227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s="1547" customFormat="1" ht="16.5" customHeight="1">
      <c r="A33" s="1545"/>
      <c r="B33" s="1545"/>
      <c r="C33" s="1535" t="s">
        <v>130</v>
      </c>
      <c r="D33" s="1546"/>
      <c r="E33" s="1546"/>
      <c r="F33" s="1537">
        <v>13040</v>
      </c>
      <c r="G33" s="1546"/>
      <c r="H33" s="1537">
        <v>13040</v>
      </c>
      <c r="I33" s="1539">
        <v>12117</v>
      </c>
      <c r="J33" s="1540">
        <f t="shared" si="0"/>
        <v>0.929217791411043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 s="1547" customFormat="1" ht="16.5" customHeight="1">
      <c r="A34" s="1545"/>
      <c r="B34" s="1545"/>
      <c r="C34" s="1535" t="s">
        <v>131</v>
      </c>
      <c r="D34" s="1546"/>
      <c r="E34" s="1546"/>
      <c r="F34" s="1537">
        <v>14640</v>
      </c>
      <c r="G34" s="1546"/>
      <c r="H34" s="1537">
        <v>15640</v>
      </c>
      <c r="I34" s="1539">
        <v>15134</v>
      </c>
      <c r="J34" s="1540">
        <f t="shared" si="0"/>
        <v>0.9676470588235294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s="1547" customFormat="1" ht="16.5" customHeight="1">
      <c r="A35" s="1545"/>
      <c r="B35" s="1545"/>
      <c r="C35" s="1535" t="s">
        <v>132</v>
      </c>
      <c r="D35" s="1546"/>
      <c r="E35" s="1546"/>
      <c r="F35" s="1537">
        <v>11540</v>
      </c>
      <c r="G35" s="1546"/>
      <c r="H35" s="1537">
        <v>11540</v>
      </c>
      <c r="I35" s="1539">
        <v>10308</v>
      </c>
      <c r="J35" s="1540">
        <f t="shared" si="0"/>
        <v>0.8932409012131716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s="1547" customFormat="1" ht="16.5" customHeight="1">
      <c r="A36" s="1545"/>
      <c r="B36" s="1545"/>
      <c r="C36" s="1535" t="s">
        <v>133</v>
      </c>
      <c r="D36" s="1546"/>
      <c r="E36" s="1546"/>
      <c r="F36" s="1537">
        <v>10940</v>
      </c>
      <c r="G36" s="1546"/>
      <c r="H36" s="1537">
        <v>10940</v>
      </c>
      <c r="I36" s="1539">
        <v>10441</v>
      </c>
      <c r="J36" s="1540">
        <f t="shared" si="0"/>
        <v>0.9543875685557587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 s="869" customFormat="1" ht="16.5" customHeight="1">
      <c r="A37" s="1548"/>
      <c r="B37" s="1548"/>
      <c r="C37" s="1549" t="s">
        <v>990</v>
      </c>
      <c r="D37" s="1549"/>
      <c r="E37" s="1549"/>
      <c r="F37" s="1550">
        <v>30000</v>
      </c>
      <c r="G37" s="1549"/>
      <c r="H37" s="1550">
        <v>26000</v>
      </c>
      <c r="I37" s="1550">
        <v>18923</v>
      </c>
      <c r="J37" s="1551">
        <f t="shared" si="0"/>
        <v>0.7278076923076923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40" ht="12.75">
      <c r="I40" s="1980" t="s">
        <v>449</v>
      </c>
    </row>
    <row r="41" ht="12.75">
      <c r="I41" s="1980" t="s">
        <v>450</v>
      </c>
    </row>
    <row r="42" ht="12.75">
      <c r="I42" s="1980" t="s">
        <v>451</v>
      </c>
    </row>
  </sheetData>
  <mergeCells count="1">
    <mergeCell ref="A1:C1"/>
  </mergeCells>
  <printOptions horizontalCentered="1"/>
  <pageMargins left="0.5905511811023623" right="0.5905511811023623" top="0.5511811023622047" bottom="0.6692913385826772" header="0.4330708661417323" footer="0.5118110236220472"/>
  <pageSetup firstPageNumber="64" useFirstPageNumber="1" horizontalDpi="600" verticalDpi="600" orientation="landscape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workbookViewId="0" topLeftCell="A1">
      <selection activeCell="F100" sqref="F100:F102"/>
    </sheetView>
  </sheetViews>
  <sheetFormatPr defaultColWidth="9.00390625" defaultRowHeight="12.75"/>
  <cols>
    <col min="1" max="1" width="10.75390625" style="869" customWidth="1"/>
    <col min="2" max="2" width="11.875" style="869" customWidth="1"/>
    <col min="3" max="3" width="69.25390625" style="869" customWidth="1"/>
    <col min="4" max="4" width="18.625" style="869" customWidth="1"/>
    <col min="5" max="5" width="18.375" style="869" customWidth="1"/>
    <col min="6" max="6" width="18.75390625" style="869" customWidth="1"/>
    <col min="7" max="7" width="12.875" style="869" customWidth="1"/>
    <col min="8" max="16384" width="9.125" style="869" customWidth="1"/>
  </cols>
  <sheetData>
    <row r="1" ht="14.25">
      <c r="F1" s="869" t="s">
        <v>134</v>
      </c>
    </row>
    <row r="2" spans="4:6" s="680" customFormat="1" ht="15.75">
      <c r="D2" s="869"/>
      <c r="E2" s="869"/>
      <c r="F2" s="3" t="s">
        <v>977</v>
      </c>
    </row>
    <row r="3" spans="1:6" s="680" customFormat="1" ht="15.75">
      <c r="A3" s="680" t="s">
        <v>135</v>
      </c>
      <c r="D3" s="869"/>
      <c r="E3" s="869"/>
      <c r="F3" s="11" t="s">
        <v>292</v>
      </c>
    </row>
    <row r="4" spans="4:6" s="680" customFormat="1" ht="13.5" customHeight="1">
      <c r="D4" s="869"/>
      <c r="E4" s="869"/>
      <c r="F4" s="11" t="s">
        <v>978</v>
      </c>
    </row>
    <row r="5" spans="1:3" ht="15">
      <c r="A5" s="891"/>
      <c r="B5" s="891"/>
      <c r="C5" s="891"/>
    </row>
    <row r="6" spans="2:7" ht="15.75" thickBot="1">
      <c r="B6" s="1554"/>
      <c r="C6" s="1555"/>
      <c r="G6" s="869" t="s">
        <v>297</v>
      </c>
    </row>
    <row r="7" spans="1:7" s="891" customFormat="1" ht="33" customHeight="1" thickTop="1">
      <c r="A7" s="1937" t="s">
        <v>303</v>
      </c>
      <c r="B7" s="1937" t="s">
        <v>136</v>
      </c>
      <c r="C7" s="1937" t="s">
        <v>137</v>
      </c>
      <c r="D7" s="1937" t="s">
        <v>299</v>
      </c>
      <c r="E7" s="1937" t="s">
        <v>604</v>
      </c>
      <c r="F7" s="1937" t="s">
        <v>138</v>
      </c>
      <c r="G7" s="1937" t="s">
        <v>958</v>
      </c>
    </row>
    <row r="8" spans="1:7" s="891" customFormat="1" ht="33.75" customHeight="1" thickBot="1">
      <c r="A8" s="1948"/>
      <c r="B8" s="1972"/>
      <c r="C8" s="1948"/>
      <c r="D8" s="1970" t="s">
        <v>139</v>
      </c>
      <c r="E8" s="1970" t="s">
        <v>139</v>
      </c>
      <c r="F8" s="1971"/>
      <c r="G8" s="1970"/>
    </row>
    <row r="9" spans="1:7" s="1515" customFormat="1" ht="13.5" customHeight="1" thickBot="1" thickTop="1">
      <c r="A9" s="1267">
        <v>1</v>
      </c>
      <c r="B9" s="1267">
        <v>2</v>
      </c>
      <c r="C9" s="1267">
        <v>3</v>
      </c>
      <c r="D9" s="1556">
        <v>4</v>
      </c>
      <c r="E9" s="1556">
        <v>5</v>
      </c>
      <c r="F9" s="1556">
        <v>6</v>
      </c>
      <c r="G9" s="1556">
        <v>7</v>
      </c>
    </row>
    <row r="10" spans="1:7" ht="24.75" customHeight="1" thickTop="1">
      <c r="A10" s="1557"/>
      <c r="B10" s="1557"/>
      <c r="C10" s="1558" t="s">
        <v>140</v>
      </c>
      <c r="D10" s="1559">
        <v>1163505</v>
      </c>
      <c r="E10" s="1560">
        <v>1163505</v>
      </c>
      <c r="F10" s="1560">
        <v>1163505</v>
      </c>
      <c r="G10" s="1561"/>
    </row>
    <row r="11" spans="1:7" ht="15" customHeight="1" hidden="1">
      <c r="A11" s="1562"/>
      <c r="B11" s="1562"/>
      <c r="C11" s="1563" t="s">
        <v>141</v>
      </c>
      <c r="D11" s="1564" t="e">
        <f>#REF!</f>
        <v>#REF!</v>
      </c>
      <c r="E11" s="1565"/>
      <c r="F11" s="1565"/>
      <c r="G11" s="1566"/>
    </row>
    <row r="12" spans="1:7" ht="19.5" customHeight="1">
      <c r="A12" s="738"/>
      <c r="B12" s="1567"/>
      <c r="C12" s="1568" t="s">
        <v>142</v>
      </c>
      <c r="D12" s="1569">
        <f aca="true" t="shared" si="0" ref="D12:F13">D13</f>
        <v>3376000</v>
      </c>
      <c r="E12" s="1570">
        <f t="shared" si="0"/>
        <v>3566000</v>
      </c>
      <c r="F12" s="1570">
        <f t="shared" si="0"/>
        <v>3344450</v>
      </c>
      <c r="G12" s="1571">
        <f aca="true" t="shared" si="1" ref="G12:G22">F12/E12</f>
        <v>0.9378715647784632</v>
      </c>
    </row>
    <row r="13" spans="1:7" ht="19.5" customHeight="1">
      <c r="A13" s="769">
        <v>900</v>
      </c>
      <c r="B13" s="1572"/>
      <c r="C13" s="770" t="s">
        <v>413</v>
      </c>
      <c r="D13" s="1573">
        <f t="shared" si="0"/>
        <v>3376000</v>
      </c>
      <c r="E13" s="1574">
        <f t="shared" si="0"/>
        <v>3566000</v>
      </c>
      <c r="F13" s="1574">
        <f t="shared" si="0"/>
        <v>3344450</v>
      </c>
      <c r="G13" s="1575">
        <f t="shared" si="1"/>
        <v>0.9378715647784632</v>
      </c>
    </row>
    <row r="14" spans="1:7" ht="19.5" customHeight="1">
      <c r="A14" s="733"/>
      <c r="B14" s="741">
        <v>90011</v>
      </c>
      <c r="C14" s="757" t="s">
        <v>416</v>
      </c>
      <c r="D14" s="712">
        <f>D15+D17+D19</f>
        <v>3376000</v>
      </c>
      <c r="E14" s="1053">
        <f>E15+E17+E19+E21</f>
        <v>3566000</v>
      </c>
      <c r="F14" s="1053">
        <f>F15+F17+F19+F21+F23</f>
        <v>3344450</v>
      </c>
      <c r="G14" s="1576">
        <f t="shared" si="1"/>
        <v>0.9378715647784632</v>
      </c>
    </row>
    <row r="15" spans="1:7" ht="19.5" customHeight="1">
      <c r="A15" s="733"/>
      <c r="B15" s="733"/>
      <c r="C15" s="1577" t="s">
        <v>143</v>
      </c>
      <c r="D15" s="727">
        <f>D16</f>
        <v>1456000</v>
      </c>
      <c r="E15" s="727">
        <f>E16</f>
        <v>1456000</v>
      </c>
      <c r="F15" s="727">
        <f>F16</f>
        <v>1646694</v>
      </c>
      <c r="G15" s="737">
        <f t="shared" si="1"/>
        <v>1.1309711538461538</v>
      </c>
    </row>
    <row r="16" spans="1:7" s="1582" customFormat="1" ht="19.5" customHeight="1">
      <c r="A16" s="715"/>
      <c r="B16" s="1578" t="s">
        <v>144</v>
      </c>
      <c r="C16" s="1579" t="s">
        <v>145</v>
      </c>
      <c r="D16" s="752">
        <v>1456000</v>
      </c>
      <c r="E16" s="1580">
        <v>1456000</v>
      </c>
      <c r="F16" s="1580">
        <v>1646694</v>
      </c>
      <c r="G16" s="1581">
        <f t="shared" si="1"/>
        <v>1.1309711538461538</v>
      </c>
    </row>
    <row r="17" spans="1:7" ht="19.5" customHeight="1">
      <c r="A17" s="733"/>
      <c r="B17" s="733"/>
      <c r="C17" s="1577" t="s">
        <v>146</v>
      </c>
      <c r="D17" s="727">
        <f>D18</f>
        <v>20000</v>
      </c>
      <c r="E17" s="727">
        <f>E18</f>
        <v>20000</v>
      </c>
      <c r="F17" s="727">
        <f>F18</f>
        <v>62524</v>
      </c>
      <c r="G17" s="737">
        <f t="shared" si="1"/>
        <v>3.1262</v>
      </c>
    </row>
    <row r="18" spans="1:7" s="1582" customFormat="1" ht="21.75" customHeight="1">
      <c r="A18" s="715"/>
      <c r="B18" s="1578" t="s">
        <v>147</v>
      </c>
      <c r="C18" s="1579" t="s">
        <v>148</v>
      </c>
      <c r="D18" s="752">
        <v>20000</v>
      </c>
      <c r="E18" s="1580">
        <v>20000</v>
      </c>
      <c r="F18" s="1580">
        <f>50023+1730+10771</f>
        <v>62524</v>
      </c>
      <c r="G18" s="1581">
        <f t="shared" si="1"/>
        <v>3.1262</v>
      </c>
    </row>
    <row r="19" spans="1:7" ht="26.25" customHeight="1">
      <c r="A19" s="733"/>
      <c r="B19" s="733"/>
      <c r="C19" s="1583" t="s">
        <v>149</v>
      </c>
      <c r="D19" s="727">
        <f>D20</f>
        <v>1900000</v>
      </c>
      <c r="E19" s="727">
        <f>E20</f>
        <v>2000000</v>
      </c>
      <c r="F19" s="727">
        <f>F20</f>
        <v>1536320</v>
      </c>
      <c r="G19" s="728">
        <f t="shared" si="1"/>
        <v>0.76816</v>
      </c>
    </row>
    <row r="20" spans="1:7" s="1582" customFormat="1" ht="19.5" customHeight="1">
      <c r="A20" s="715"/>
      <c r="B20" s="1578">
        <v>296</v>
      </c>
      <c r="C20" s="1579" t="s">
        <v>150</v>
      </c>
      <c r="D20" s="752">
        <v>1900000</v>
      </c>
      <c r="E20" s="1580">
        <v>2000000</v>
      </c>
      <c r="F20" s="1580">
        <v>1536320</v>
      </c>
      <c r="G20" s="1581">
        <f t="shared" si="1"/>
        <v>0.76816</v>
      </c>
    </row>
    <row r="21" spans="1:7" ht="32.25" customHeight="1">
      <c r="A21" s="733"/>
      <c r="B21" s="733"/>
      <c r="C21" s="1577" t="s">
        <v>151</v>
      </c>
      <c r="D21" s="727"/>
      <c r="E21" s="727">
        <f>E22</f>
        <v>90000</v>
      </c>
      <c r="F21" s="727">
        <f>F22</f>
        <v>90000</v>
      </c>
      <c r="G21" s="737">
        <f t="shared" si="1"/>
        <v>1</v>
      </c>
    </row>
    <row r="22" spans="1:7" s="1582" customFormat="1" ht="19.5" customHeight="1">
      <c r="A22" s="715"/>
      <c r="B22" s="1578">
        <v>296</v>
      </c>
      <c r="C22" s="1579" t="s">
        <v>150</v>
      </c>
      <c r="D22" s="752"/>
      <c r="E22" s="1580">
        <v>90000</v>
      </c>
      <c r="F22" s="1580">
        <v>90000</v>
      </c>
      <c r="G22" s="1581">
        <f t="shared" si="1"/>
        <v>1</v>
      </c>
    </row>
    <row r="23" spans="1:7" ht="19.5" customHeight="1">
      <c r="A23" s="733"/>
      <c r="B23" s="1584"/>
      <c r="C23" s="1585" t="s">
        <v>152</v>
      </c>
      <c r="D23" s="726"/>
      <c r="E23" s="1586"/>
      <c r="F23" s="1586">
        <f>F24</f>
        <v>8912</v>
      </c>
      <c r="G23" s="1587"/>
    </row>
    <row r="24" spans="1:7" s="1582" customFormat="1" ht="19.5" customHeight="1">
      <c r="A24" s="715"/>
      <c r="B24" s="1578" t="s">
        <v>153</v>
      </c>
      <c r="C24" s="1563" t="s">
        <v>154</v>
      </c>
      <c r="D24" s="752"/>
      <c r="E24" s="1580"/>
      <c r="F24" s="1580">
        <v>8912</v>
      </c>
      <c r="G24" s="1581"/>
    </row>
    <row r="25" spans="1:7" s="891" customFormat="1" ht="21.75" customHeight="1">
      <c r="A25" s="709"/>
      <c r="B25" s="709"/>
      <c r="C25" s="1588" t="s">
        <v>155</v>
      </c>
      <c r="D25" s="1589">
        <f>D10+D12</f>
        <v>4539505</v>
      </c>
      <c r="E25" s="1589">
        <f>E10+E12</f>
        <v>4729505</v>
      </c>
      <c r="F25" s="1589">
        <f>F10+F12</f>
        <v>4507955</v>
      </c>
      <c r="G25" s="743"/>
    </row>
    <row r="26" spans="1:7" ht="19.5" customHeight="1">
      <c r="A26" s="1590"/>
      <c r="B26" s="1591"/>
      <c r="C26" s="1568" t="s">
        <v>156</v>
      </c>
      <c r="D26" s="1592">
        <f>SUM(D27)</f>
        <v>3800000</v>
      </c>
      <c r="E26" s="1593">
        <f>E27</f>
        <v>4120000</v>
      </c>
      <c r="F26" s="1593">
        <f>F27</f>
        <v>3975386</v>
      </c>
      <c r="G26" s="1571">
        <f aca="true" t="shared" si="2" ref="G26:G58">F26/E26</f>
        <v>0.9648995145631067</v>
      </c>
    </row>
    <row r="27" spans="1:7" ht="19.5" customHeight="1">
      <c r="A27" s="769">
        <v>900</v>
      </c>
      <c r="B27" s="1572"/>
      <c r="C27" s="770" t="s">
        <v>413</v>
      </c>
      <c r="D27" s="707">
        <f>D28</f>
        <v>3800000</v>
      </c>
      <c r="E27" s="721">
        <f>E28</f>
        <v>4120000</v>
      </c>
      <c r="F27" s="721">
        <f>F28</f>
        <v>3975386</v>
      </c>
      <c r="G27" s="1575">
        <f t="shared" si="2"/>
        <v>0.9648995145631067</v>
      </c>
    </row>
    <row r="28" spans="1:7" ht="19.5" customHeight="1">
      <c r="A28" s="733"/>
      <c r="B28" s="741">
        <v>90011</v>
      </c>
      <c r="C28" s="757" t="s">
        <v>416</v>
      </c>
      <c r="D28" s="712">
        <f>D29+D33+D35+D37+D39+D41+D43+D45+D47+D49+D51+D53+D55+D57+D60+D62+D65+D67+D69+D71+D73+D75+D77+D79+D81+D83+D85+D88+D90+D92</f>
        <v>3800000</v>
      </c>
      <c r="E28" s="712">
        <f>E29+E33+E35+E37+E39+E41+E43+E45+E47+E49+E51+E53+E55+E57+E60+E62+E65+E67+E69+E71+E73+E75+E77+E79+E81+E83+E85+E88+E90+E92</f>
        <v>4120000</v>
      </c>
      <c r="F28" s="1053">
        <f>F29+F33+F35+F37+F39+F41+F43+F45+F47+F49+F51+F53+F55+F57+F60+F62+F65+F67+F69+F71+F73+F75+F77+F79+F81+F83+F85+F88+F90+F92+F94</f>
        <v>3975386</v>
      </c>
      <c r="G28" s="1576">
        <f t="shared" si="2"/>
        <v>0.9648995145631067</v>
      </c>
    </row>
    <row r="29" spans="1:7" ht="18" customHeight="1">
      <c r="A29" s="733"/>
      <c r="B29" s="733"/>
      <c r="C29" s="1577" t="s">
        <v>157</v>
      </c>
      <c r="D29" s="1594">
        <f>SUM(D30:D31)</f>
        <v>170000</v>
      </c>
      <c r="E29" s="1594">
        <f>SUM(E30:E32)</f>
        <v>190000</v>
      </c>
      <c r="F29" s="1594">
        <f>SUM(F30:F32)</f>
        <v>138708</v>
      </c>
      <c r="G29" s="737">
        <f t="shared" si="2"/>
        <v>0.7300421052631579</v>
      </c>
    </row>
    <row r="30" spans="1:7" s="1597" customFormat="1" ht="19.5" customHeight="1">
      <c r="A30" s="751"/>
      <c r="B30" s="1578">
        <v>4210</v>
      </c>
      <c r="C30" s="1563" t="s">
        <v>158</v>
      </c>
      <c r="D30" s="1595">
        <v>30000</v>
      </c>
      <c r="E30" s="1595">
        <v>30000</v>
      </c>
      <c r="F30" s="1595">
        <v>27229</v>
      </c>
      <c r="G30" s="1596">
        <f t="shared" si="2"/>
        <v>0.9076333333333333</v>
      </c>
    </row>
    <row r="31" spans="1:7" s="1582" customFormat="1" ht="19.5" customHeight="1">
      <c r="A31" s="715"/>
      <c r="B31" s="1578">
        <v>4300</v>
      </c>
      <c r="C31" s="1563" t="s">
        <v>159</v>
      </c>
      <c r="D31" s="1595">
        <v>140000</v>
      </c>
      <c r="E31" s="1595">
        <v>148600</v>
      </c>
      <c r="F31" s="1595">
        <v>100120</v>
      </c>
      <c r="G31" s="1596">
        <f t="shared" si="2"/>
        <v>0.6737550471063257</v>
      </c>
    </row>
    <row r="32" spans="1:7" s="1603" customFormat="1" ht="19.5" customHeight="1">
      <c r="A32" s="1598"/>
      <c r="B32" s="1599">
        <v>6120</v>
      </c>
      <c r="C32" s="1600" t="s">
        <v>160</v>
      </c>
      <c r="D32" s="1601"/>
      <c r="E32" s="1601">
        <v>11400</v>
      </c>
      <c r="F32" s="1601">
        <v>11359</v>
      </c>
      <c r="G32" s="1602">
        <f t="shared" si="2"/>
        <v>0.9964035087719298</v>
      </c>
    </row>
    <row r="33" spans="1:7" s="896" customFormat="1" ht="18" customHeight="1">
      <c r="A33" s="733"/>
      <c r="B33" s="733"/>
      <c r="C33" s="1583" t="s">
        <v>161</v>
      </c>
      <c r="D33" s="1594">
        <f>D34</f>
        <v>270000</v>
      </c>
      <c r="E33" s="1594">
        <f>E34</f>
        <v>850000</v>
      </c>
      <c r="F33" s="1594">
        <f>F34</f>
        <v>850000</v>
      </c>
      <c r="G33" s="728">
        <f t="shared" si="2"/>
        <v>1</v>
      </c>
    </row>
    <row r="34" spans="1:7" s="1603" customFormat="1" ht="19.5" customHeight="1">
      <c r="A34" s="715"/>
      <c r="B34" s="1578">
        <v>6110</v>
      </c>
      <c r="C34" s="1563" t="s">
        <v>162</v>
      </c>
      <c r="D34" s="752">
        <v>270000</v>
      </c>
      <c r="E34" s="1580">
        <v>850000</v>
      </c>
      <c r="F34" s="1580">
        <v>850000</v>
      </c>
      <c r="G34" s="1581">
        <f t="shared" si="2"/>
        <v>1</v>
      </c>
    </row>
    <row r="35" spans="1:7" ht="18" customHeight="1">
      <c r="A35" s="733"/>
      <c r="B35" s="733"/>
      <c r="C35" s="1577" t="s">
        <v>163</v>
      </c>
      <c r="D35" s="1594">
        <f>D36</f>
        <v>120000</v>
      </c>
      <c r="E35" s="1594">
        <f>E36</f>
        <v>150000</v>
      </c>
      <c r="F35" s="1594">
        <f>F36</f>
        <v>136496</v>
      </c>
      <c r="G35" s="737">
        <f t="shared" si="2"/>
        <v>0.9099733333333333</v>
      </c>
    </row>
    <row r="36" spans="1:7" s="1582" customFormat="1" ht="19.5" customHeight="1">
      <c r="A36" s="715"/>
      <c r="B36" s="1578">
        <v>4300</v>
      </c>
      <c r="C36" s="1563" t="s">
        <v>159</v>
      </c>
      <c r="D36" s="752">
        <v>120000</v>
      </c>
      <c r="E36" s="1580">
        <v>150000</v>
      </c>
      <c r="F36" s="1580">
        <v>136496</v>
      </c>
      <c r="G36" s="1581">
        <f t="shared" si="2"/>
        <v>0.9099733333333333</v>
      </c>
    </row>
    <row r="37" spans="1:7" ht="18" customHeight="1">
      <c r="A37" s="733"/>
      <c r="B37" s="733"/>
      <c r="C37" s="1577" t="s">
        <v>164</v>
      </c>
      <c r="D37" s="1594">
        <f>D38</f>
        <v>150000</v>
      </c>
      <c r="E37" s="1594">
        <f>E38</f>
        <v>180000</v>
      </c>
      <c r="F37" s="1594">
        <f>F38</f>
        <v>133472</v>
      </c>
      <c r="G37" s="737">
        <f t="shared" si="2"/>
        <v>0.7415111111111111</v>
      </c>
    </row>
    <row r="38" spans="1:7" s="1582" customFormat="1" ht="19.5" customHeight="1">
      <c r="A38" s="715"/>
      <c r="B38" s="1578">
        <v>4300</v>
      </c>
      <c r="C38" s="1563" t="s">
        <v>159</v>
      </c>
      <c r="D38" s="752">
        <v>150000</v>
      </c>
      <c r="E38" s="1580">
        <v>180000</v>
      </c>
      <c r="F38" s="1580">
        <v>133472</v>
      </c>
      <c r="G38" s="1581">
        <f t="shared" si="2"/>
        <v>0.7415111111111111</v>
      </c>
    </row>
    <row r="39" spans="1:7" ht="18" customHeight="1">
      <c r="A39" s="733"/>
      <c r="B39" s="733"/>
      <c r="C39" s="1577" t="s">
        <v>165</v>
      </c>
      <c r="D39" s="1594">
        <f>D40</f>
        <v>100000</v>
      </c>
      <c r="E39" s="1594">
        <f>E40</f>
        <v>410000</v>
      </c>
      <c r="F39" s="1594">
        <f>F40</f>
        <v>40870</v>
      </c>
      <c r="G39" s="737">
        <f t="shared" si="2"/>
        <v>0.0996829268292683</v>
      </c>
    </row>
    <row r="40" spans="1:7" s="1582" customFormat="1" ht="19.5" customHeight="1">
      <c r="A40" s="715"/>
      <c r="B40" s="1578">
        <v>6110</v>
      </c>
      <c r="C40" s="1563" t="s">
        <v>162</v>
      </c>
      <c r="D40" s="752">
        <v>100000</v>
      </c>
      <c r="E40" s="1580">
        <v>410000</v>
      </c>
      <c r="F40" s="1580">
        <v>40870</v>
      </c>
      <c r="G40" s="1581">
        <f t="shared" si="2"/>
        <v>0.0996829268292683</v>
      </c>
    </row>
    <row r="41" spans="1:7" ht="28.5" customHeight="1">
      <c r="A41" s="733"/>
      <c r="B41" s="733"/>
      <c r="C41" s="1583" t="s">
        <v>166</v>
      </c>
      <c r="D41" s="749">
        <f>D42</f>
        <v>400000</v>
      </c>
      <c r="E41" s="1129">
        <f>E42</f>
        <v>400000</v>
      </c>
      <c r="F41" s="1129">
        <f>F42</f>
        <v>400000</v>
      </c>
      <c r="G41" s="1604">
        <f t="shared" si="2"/>
        <v>1</v>
      </c>
    </row>
    <row r="42" spans="1:7" ht="19.5" customHeight="1">
      <c r="A42" s="733"/>
      <c r="B42" s="1578">
        <v>6110</v>
      </c>
      <c r="C42" s="1563" t="s">
        <v>162</v>
      </c>
      <c r="D42" s="1605">
        <v>400000</v>
      </c>
      <c r="E42" s="1606">
        <v>400000</v>
      </c>
      <c r="F42" s="1606">
        <v>400000</v>
      </c>
      <c r="G42" s="1607">
        <f t="shared" si="2"/>
        <v>1</v>
      </c>
    </row>
    <row r="43" spans="1:7" ht="28.5" customHeight="1">
      <c r="A43" s="733"/>
      <c r="B43" s="733"/>
      <c r="C43" s="1583" t="s">
        <v>167</v>
      </c>
      <c r="D43" s="749">
        <f>D44</f>
        <v>140000</v>
      </c>
      <c r="E43" s="1129">
        <f>E44</f>
        <v>140000</v>
      </c>
      <c r="F43" s="1129">
        <f>F44</f>
        <v>140000</v>
      </c>
      <c r="G43" s="1604">
        <f t="shared" si="2"/>
        <v>1</v>
      </c>
    </row>
    <row r="44" spans="1:7" ht="19.5" customHeight="1">
      <c r="A44" s="733"/>
      <c r="B44" s="1578">
        <v>4300</v>
      </c>
      <c r="C44" s="1563" t="s">
        <v>159</v>
      </c>
      <c r="D44" s="1605">
        <v>140000</v>
      </c>
      <c r="E44" s="1606">
        <v>140000</v>
      </c>
      <c r="F44" s="1606">
        <v>140000</v>
      </c>
      <c r="G44" s="1607">
        <f t="shared" si="2"/>
        <v>1</v>
      </c>
    </row>
    <row r="45" spans="1:7" ht="28.5" customHeight="1">
      <c r="A45" s="733"/>
      <c r="B45" s="733"/>
      <c r="C45" s="1583" t="s">
        <v>168</v>
      </c>
      <c r="D45" s="749">
        <f>D46</f>
        <v>20000</v>
      </c>
      <c r="E45" s="1129">
        <f>E46</f>
        <v>20000</v>
      </c>
      <c r="F45" s="1129">
        <f>F46</f>
        <v>20000</v>
      </c>
      <c r="G45" s="1604">
        <f t="shared" si="2"/>
        <v>1</v>
      </c>
    </row>
    <row r="46" spans="1:7" ht="19.5" customHeight="1">
      <c r="A46" s="733"/>
      <c r="B46" s="1578">
        <v>4210</v>
      </c>
      <c r="C46" s="1563" t="s">
        <v>158</v>
      </c>
      <c r="D46" s="1605">
        <v>20000</v>
      </c>
      <c r="E46" s="1606">
        <v>20000</v>
      </c>
      <c r="F46" s="1606">
        <v>20000</v>
      </c>
      <c r="G46" s="1607">
        <f t="shared" si="2"/>
        <v>1</v>
      </c>
    </row>
    <row r="47" spans="1:7" ht="18" customHeight="1">
      <c r="A47" s="733"/>
      <c r="B47" s="733"/>
      <c r="C47" s="1577" t="s">
        <v>169</v>
      </c>
      <c r="D47" s="1594">
        <f>D48</f>
        <v>80000</v>
      </c>
      <c r="E47" s="1594">
        <f>E48</f>
        <v>100000</v>
      </c>
      <c r="F47" s="1594">
        <f>F48</f>
        <v>85452</v>
      </c>
      <c r="G47" s="737">
        <f t="shared" si="2"/>
        <v>0.85452</v>
      </c>
    </row>
    <row r="48" spans="1:7" s="1582" customFormat="1" ht="19.5" customHeight="1">
      <c r="A48" s="715"/>
      <c r="B48" s="1578">
        <v>4300</v>
      </c>
      <c r="C48" s="1563" t="s">
        <v>159</v>
      </c>
      <c r="D48" s="752">
        <v>80000</v>
      </c>
      <c r="E48" s="1580">
        <v>100000</v>
      </c>
      <c r="F48" s="1580">
        <v>85452</v>
      </c>
      <c r="G48" s="1581">
        <f t="shared" si="2"/>
        <v>0.85452</v>
      </c>
    </row>
    <row r="49" spans="1:7" ht="18" customHeight="1">
      <c r="A49" s="733"/>
      <c r="B49" s="733"/>
      <c r="C49" s="1577" t="s">
        <v>170</v>
      </c>
      <c r="D49" s="1594">
        <f>D50</f>
        <v>60000</v>
      </c>
      <c r="E49" s="1594">
        <f>E50</f>
        <v>60000</v>
      </c>
      <c r="F49" s="1594">
        <f>F50</f>
        <v>59780</v>
      </c>
      <c r="G49" s="737">
        <f t="shared" si="2"/>
        <v>0.9963333333333333</v>
      </c>
    </row>
    <row r="50" spans="1:7" s="1582" customFormat="1" ht="19.5" customHeight="1">
      <c r="A50" s="715"/>
      <c r="B50" s="1578">
        <v>4300</v>
      </c>
      <c r="C50" s="1563" t="s">
        <v>159</v>
      </c>
      <c r="D50" s="752">
        <v>60000</v>
      </c>
      <c r="E50" s="1580">
        <v>60000</v>
      </c>
      <c r="F50" s="1580">
        <v>59780</v>
      </c>
      <c r="G50" s="1581">
        <f t="shared" si="2"/>
        <v>0.9963333333333333</v>
      </c>
    </row>
    <row r="51" spans="1:7" ht="18" customHeight="1">
      <c r="A51" s="733"/>
      <c r="B51" s="733"/>
      <c r="C51" s="1577" t="s">
        <v>171</v>
      </c>
      <c r="D51" s="1594">
        <f>D52</f>
        <v>200000</v>
      </c>
      <c r="E51" s="1594">
        <f>E52</f>
        <v>200000</v>
      </c>
      <c r="F51" s="1594">
        <f>F52</f>
        <v>200000</v>
      </c>
      <c r="G51" s="737">
        <f t="shared" si="2"/>
        <v>1</v>
      </c>
    </row>
    <row r="52" spans="1:7" s="1597" customFormat="1" ht="19.5" customHeight="1">
      <c r="A52" s="715"/>
      <c r="B52" s="1578">
        <v>6110</v>
      </c>
      <c r="C52" s="1563" t="s">
        <v>162</v>
      </c>
      <c r="D52" s="752">
        <v>200000</v>
      </c>
      <c r="E52" s="1580">
        <v>200000</v>
      </c>
      <c r="F52" s="1580">
        <v>200000</v>
      </c>
      <c r="G52" s="1581">
        <f t="shared" si="2"/>
        <v>1</v>
      </c>
    </row>
    <row r="53" spans="1:7" ht="18" customHeight="1">
      <c r="A53" s="733"/>
      <c r="B53" s="733"/>
      <c r="C53" s="1583" t="s">
        <v>172</v>
      </c>
      <c r="D53" s="1594">
        <f>D54</f>
        <v>40000</v>
      </c>
      <c r="E53" s="1594">
        <f>E54</f>
        <v>40000</v>
      </c>
      <c r="F53" s="1594">
        <f>F54</f>
        <v>39920</v>
      </c>
      <c r="G53" s="728">
        <f t="shared" si="2"/>
        <v>0.998</v>
      </c>
    </row>
    <row r="54" spans="1:7" s="1582" customFormat="1" ht="19.5" customHeight="1">
      <c r="A54" s="715"/>
      <c r="B54" s="1578">
        <v>4300</v>
      </c>
      <c r="C54" s="1563" t="s">
        <v>159</v>
      </c>
      <c r="D54" s="752">
        <v>40000</v>
      </c>
      <c r="E54" s="1580">
        <v>40000</v>
      </c>
      <c r="F54" s="1580">
        <v>39920</v>
      </c>
      <c r="G54" s="1581">
        <f t="shared" si="2"/>
        <v>0.998</v>
      </c>
    </row>
    <row r="55" spans="1:7" ht="18" customHeight="1">
      <c r="A55" s="733"/>
      <c r="B55" s="733"/>
      <c r="C55" s="1577" t="s">
        <v>173</v>
      </c>
      <c r="D55" s="1594">
        <f>D56</f>
        <v>10000</v>
      </c>
      <c r="E55" s="1594">
        <f>E56</f>
        <v>12900</v>
      </c>
      <c r="F55" s="1594">
        <f>F56</f>
        <v>12219</v>
      </c>
      <c r="G55" s="737">
        <f t="shared" si="2"/>
        <v>0.9472093023255814</v>
      </c>
    </row>
    <row r="56" spans="1:7" s="1582" customFormat="1" ht="19.5" customHeight="1">
      <c r="A56" s="715"/>
      <c r="B56" s="1578">
        <v>4300</v>
      </c>
      <c r="C56" s="1563" t="s">
        <v>159</v>
      </c>
      <c r="D56" s="752">
        <v>10000</v>
      </c>
      <c r="E56" s="1580">
        <v>12900</v>
      </c>
      <c r="F56" s="1580">
        <v>12219</v>
      </c>
      <c r="G56" s="1581">
        <f t="shared" si="2"/>
        <v>0.9472093023255814</v>
      </c>
    </row>
    <row r="57" spans="1:7" ht="18" customHeight="1">
      <c r="A57" s="733"/>
      <c r="B57" s="733"/>
      <c r="C57" s="1577" t="s">
        <v>174</v>
      </c>
      <c r="D57" s="1594">
        <f>D58</f>
        <v>100000</v>
      </c>
      <c r="E57" s="1594">
        <f>E58</f>
        <v>100000</v>
      </c>
      <c r="F57" s="1594">
        <f>F58</f>
        <v>99212</v>
      </c>
      <c r="G57" s="737">
        <f t="shared" si="2"/>
        <v>0.99212</v>
      </c>
    </row>
    <row r="58" spans="1:7" s="1582" customFormat="1" ht="20.25" customHeight="1">
      <c r="A58" s="715"/>
      <c r="B58" s="1598">
        <v>4300</v>
      </c>
      <c r="C58" s="1608" t="s">
        <v>159</v>
      </c>
      <c r="D58" s="1609">
        <f>90000+10000</f>
        <v>100000</v>
      </c>
      <c r="E58" s="1610">
        <v>100000</v>
      </c>
      <c r="F58" s="1610">
        <v>99212</v>
      </c>
      <c r="G58" s="1611">
        <f t="shared" si="2"/>
        <v>0.99212</v>
      </c>
    </row>
    <row r="59" spans="1:7" s="1582" customFormat="1" ht="15" customHeight="1">
      <c r="A59" s="1612"/>
      <c r="B59" s="1613"/>
      <c r="C59" s="1614"/>
      <c r="D59" s="1615"/>
      <c r="E59" s="1615"/>
      <c r="F59" s="1615"/>
      <c r="G59" s="1616"/>
    </row>
    <row r="60" spans="1:7" ht="18" customHeight="1">
      <c r="A60" s="733"/>
      <c r="B60" s="733"/>
      <c r="C60" s="1583" t="s">
        <v>175</v>
      </c>
      <c r="D60" s="1594">
        <f>D61</f>
        <v>400000</v>
      </c>
      <c r="E60" s="1594">
        <f>E61</f>
        <v>400000</v>
      </c>
      <c r="F60" s="1594">
        <f>F61</f>
        <v>388727</v>
      </c>
      <c r="G60" s="728">
        <f aca="true" t="shared" si="3" ref="G60:G84">F60/E60</f>
        <v>0.9718175</v>
      </c>
    </row>
    <row r="61" spans="1:7" s="1582" customFormat="1" ht="19.5" customHeight="1">
      <c r="A61" s="715"/>
      <c r="B61" s="1578">
        <v>6110</v>
      </c>
      <c r="C61" s="1563" t="s">
        <v>162</v>
      </c>
      <c r="D61" s="752">
        <v>400000</v>
      </c>
      <c r="E61" s="1580">
        <v>400000</v>
      </c>
      <c r="F61" s="1580">
        <v>388727</v>
      </c>
      <c r="G61" s="1581">
        <f t="shared" si="3"/>
        <v>0.9718175</v>
      </c>
    </row>
    <row r="62" spans="1:7" ht="28.5" customHeight="1">
      <c r="A62" s="733"/>
      <c r="B62" s="733"/>
      <c r="C62" s="1583" t="s">
        <v>176</v>
      </c>
      <c r="D62" s="1594">
        <f>D64</f>
        <v>40000</v>
      </c>
      <c r="E62" s="1594">
        <f>SUM(E63:E64)</f>
        <v>50000</v>
      </c>
      <c r="F62" s="1594">
        <f>SUM(F63:F64)</f>
        <v>46947</v>
      </c>
      <c r="G62" s="728">
        <f t="shared" si="3"/>
        <v>0.93894</v>
      </c>
    </row>
    <row r="63" spans="1:7" s="1582" customFormat="1" ht="19.5" customHeight="1">
      <c r="A63" s="715"/>
      <c r="B63" s="751">
        <v>4210</v>
      </c>
      <c r="C63" s="1563" t="s">
        <v>158</v>
      </c>
      <c r="D63" s="752"/>
      <c r="E63" s="752">
        <v>5500</v>
      </c>
      <c r="F63" s="752">
        <v>5302</v>
      </c>
      <c r="G63" s="753">
        <f t="shared" si="3"/>
        <v>0.964</v>
      </c>
    </row>
    <row r="64" spans="1:7" s="1582" customFormat="1" ht="19.5" customHeight="1">
      <c r="A64" s="715"/>
      <c r="B64" s="1578">
        <v>4300</v>
      </c>
      <c r="C64" s="1563" t="s">
        <v>159</v>
      </c>
      <c r="D64" s="752">
        <v>40000</v>
      </c>
      <c r="E64" s="1580">
        <v>44500</v>
      </c>
      <c r="F64" s="1580">
        <v>41645</v>
      </c>
      <c r="G64" s="1581">
        <f t="shared" si="3"/>
        <v>0.9358426966292135</v>
      </c>
    </row>
    <row r="65" spans="1:7" ht="18" customHeight="1">
      <c r="A65" s="733"/>
      <c r="B65" s="733"/>
      <c r="C65" s="1577" t="s">
        <v>927</v>
      </c>
      <c r="D65" s="1594">
        <f>D66</f>
        <v>450000</v>
      </c>
      <c r="E65" s="1594">
        <f>E66</f>
        <v>210000</v>
      </c>
      <c r="F65" s="1594">
        <f>F66</f>
        <v>210000</v>
      </c>
      <c r="G65" s="737">
        <f t="shared" si="3"/>
        <v>1</v>
      </c>
    </row>
    <row r="66" spans="1:7" s="1582" customFormat="1" ht="19.5" customHeight="1">
      <c r="A66" s="715"/>
      <c r="B66" s="1578">
        <v>6110</v>
      </c>
      <c r="C66" s="1563" t="s">
        <v>162</v>
      </c>
      <c r="D66" s="752">
        <f>300000+150000</f>
        <v>450000</v>
      </c>
      <c r="E66" s="1580">
        <v>210000</v>
      </c>
      <c r="F66" s="1580">
        <v>210000</v>
      </c>
      <c r="G66" s="1581">
        <f t="shared" si="3"/>
        <v>1</v>
      </c>
    </row>
    <row r="67" spans="1:7" s="1582" customFormat="1" ht="19.5" customHeight="1">
      <c r="A67" s="715"/>
      <c r="B67" s="733"/>
      <c r="C67" s="1583" t="s">
        <v>177</v>
      </c>
      <c r="D67" s="1617">
        <f>D68</f>
        <v>30000</v>
      </c>
      <c r="E67" s="1617">
        <f>E68</f>
        <v>30000</v>
      </c>
      <c r="F67" s="1617">
        <f>F68</f>
        <v>26410</v>
      </c>
      <c r="G67" s="1618">
        <f t="shared" si="3"/>
        <v>0.8803333333333333</v>
      </c>
    </row>
    <row r="68" spans="1:7" s="1603" customFormat="1" ht="19.5" customHeight="1">
      <c r="A68" s="715"/>
      <c r="B68" s="1578">
        <v>4300</v>
      </c>
      <c r="C68" s="1563" t="s">
        <v>159</v>
      </c>
      <c r="D68" s="1595">
        <v>30000</v>
      </c>
      <c r="E68" s="1595">
        <v>30000</v>
      </c>
      <c r="F68" s="1595">
        <v>26410</v>
      </c>
      <c r="G68" s="1596">
        <f t="shared" si="3"/>
        <v>0.8803333333333333</v>
      </c>
    </row>
    <row r="69" spans="1:7" s="1603" customFormat="1" ht="19.5" customHeight="1">
      <c r="A69" s="715"/>
      <c r="B69" s="733"/>
      <c r="C69" s="1583" t="s">
        <v>178</v>
      </c>
      <c r="D69" s="1617">
        <f>D70</f>
        <v>90000</v>
      </c>
      <c r="E69" s="1617">
        <f>E70</f>
        <v>90000</v>
      </c>
      <c r="F69" s="1617">
        <f>F70</f>
        <v>89916</v>
      </c>
      <c r="G69" s="1618">
        <f t="shared" si="3"/>
        <v>0.9990666666666667</v>
      </c>
    </row>
    <row r="70" spans="1:7" s="1582" customFormat="1" ht="19.5" customHeight="1">
      <c r="A70" s="715"/>
      <c r="B70" s="1578">
        <v>4300</v>
      </c>
      <c r="C70" s="1563" t="s">
        <v>159</v>
      </c>
      <c r="D70" s="1595">
        <v>90000</v>
      </c>
      <c r="E70" s="1595">
        <v>90000</v>
      </c>
      <c r="F70" s="1595">
        <v>89916</v>
      </c>
      <c r="G70" s="1596">
        <f t="shared" si="3"/>
        <v>0.9990666666666667</v>
      </c>
    </row>
    <row r="71" spans="1:7" s="1582" customFormat="1" ht="19.5" customHeight="1">
      <c r="A71" s="715"/>
      <c r="B71" s="733"/>
      <c r="C71" s="1583" t="s">
        <v>179</v>
      </c>
      <c r="D71" s="1617">
        <f>D72</f>
        <v>100000</v>
      </c>
      <c r="E71" s="1617">
        <f>E72</f>
        <v>100000</v>
      </c>
      <c r="F71" s="1617">
        <f>F72</f>
        <v>99778</v>
      </c>
      <c r="G71" s="1618">
        <f t="shared" si="3"/>
        <v>0.99778</v>
      </c>
    </row>
    <row r="72" spans="1:7" s="1582" customFormat="1" ht="19.5" customHeight="1">
      <c r="A72" s="715"/>
      <c r="B72" s="1578">
        <v>6110</v>
      </c>
      <c r="C72" s="1563" t="s">
        <v>162</v>
      </c>
      <c r="D72" s="1595">
        <v>100000</v>
      </c>
      <c r="E72" s="1595">
        <v>100000</v>
      </c>
      <c r="F72" s="1595">
        <v>99778</v>
      </c>
      <c r="G72" s="1596">
        <f t="shared" si="3"/>
        <v>0.99778</v>
      </c>
    </row>
    <row r="73" spans="1:7" s="1582" customFormat="1" ht="23.25" customHeight="1">
      <c r="A73" s="715"/>
      <c r="B73" s="733"/>
      <c r="C73" s="1583" t="s">
        <v>180</v>
      </c>
      <c r="D73" s="1617">
        <f>D74</f>
        <v>270000</v>
      </c>
      <c r="E73" s="1617">
        <f>E74</f>
        <v>100000</v>
      </c>
      <c r="F73" s="1617">
        <f>F74</f>
        <v>100000</v>
      </c>
      <c r="G73" s="1618">
        <f t="shared" si="3"/>
        <v>1</v>
      </c>
    </row>
    <row r="74" spans="1:7" s="1603" customFormat="1" ht="19.5" customHeight="1">
      <c r="A74" s="715"/>
      <c r="B74" s="1578">
        <v>6110</v>
      </c>
      <c r="C74" s="1563" t="s">
        <v>162</v>
      </c>
      <c r="D74" s="1595">
        <v>270000</v>
      </c>
      <c r="E74" s="1595">
        <v>100000</v>
      </c>
      <c r="F74" s="1595">
        <v>100000</v>
      </c>
      <c r="G74" s="1596">
        <f t="shared" si="3"/>
        <v>1</v>
      </c>
    </row>
    <row r="75" spans="1:7" s="1582" customFormat="1" ht="19.5" customHeight="1">
      <c r="A75" s="715"/>
      <c r="B75" s="733"/>
      <c r="C75" s="1583" t="s">
        <v>181</v>
      </c>
      <c r="D75" s="1617">
        <f>D76</f>
        <v>400000</v>
      </c>
      <c r="E75" s="1617">
        <f>E76</f>
        <v>230000</v>
      </c>
      <c r="F75" s="1617">
        <f>F76</f>
        <v>230000</v>
      </c>
      <c r="G75" s="1618">
        <f t="shared" si="3"/>
        <v>1</v>
      </c>
    </row>
    <row r="76" spans="1:7" s="1582" customFormat="1" ht="19.5" customHeight="1">
      <c r="A76" s="715"/>
      <c r="B76" s="1578">
        <v>6110</v>
      </c>
      <c r="C76" s="1563" t="s">
        <v>162</v>
      </c>
      <c r="D76" s="1595">
        <v>400000</v>
      </c>
      <c r="E76" s="1595">
        <v>230000</v>
      </c>
      <c r="F76" s="1595">
        <v>230000</v>
      </c>
      <c r="G76" s="1596">
        <f t="shared" si="3"/>
        <v>1</v>
      </c>
    </row>
    <row r="77" spans="1:7" s="1582" customFormat="1" ht="19.5" customHeight="1">
      <c r="A77" s="715"/>
      <c r="B77" s="733"/>
      <c r="C77" s="1583" t="s">
        <v>182</v>
      </c>
      <c r="D77" s="1617"/>
      <c r="E77" s="1617">
        <f>E78</f>
        <v>27100</v>
      </c>
      <c r="F77" s="1617">
        <f>F78</f>
        <v>27064</v>
      </c>
      <c r="G77" s="1618">
        <f t="shared" si="3"/>
        <v>0.9986715867158672</v>
      </c>
    </row>
    <row r="78" spans="1:7" s="1582" customFormat="1" ht="19.5" customHeight="1">
      <c r="A78" s="715"/>
      <c r="B78" s="1578">
        <v>4210</v>
      </c>
      <c r="C78" s="1563" t="s">
        <v>158</v>
      </c>
      <c r="D78" s="1595"/>
      <c r="E78" s="1595">
        <v>27100</v>
      </c>
      <c r="F78" s="1595">
        <v>27064</v>
      </c>
      <c r="G78" s="1596">
        <f t="shared" si="3"/>
        <v>0.9986715867158672</v>
      </c>
    </row>
    <row r="79" spans="1:7" ht="19.5" customHeight="1">
      <c r="A79" s="733"/>
      <c r="B79" s="733"/>
      <c r="C79" s="1583" t="s">
        <v>183</v>
      </c>
      <c r="D79" s="1617"/>
      <c r="E79" s="1617">
        <f>E80</f>
        <v>10000</v>
      </c>
      <c r="F79" s="1617">
        <f>F80</f>
        <v>9300</v>
      </c>
      <c r="G79" s="1618">
        <f t="shared" si="3"/>
        <v>0.93</v>
      </c>
    </row>
    <row r="80" spans="1:7" s="1582" customFormat="1" ht="19.5" customHeight="1">
      <c r="A80" s="715"/>
      <c r="B80" s="1578">
        <v>4300</v>
      </c>
      <c r="C80" s="1563" t="s">
        <v>159</v>
      </c>
      <c r="D80" s="1619"/>
      <c r="E80" s="1619">
        <v>10000</v>
      </c>
      <c r="F80" s="1619">
        <v>9300</v>
      </c>
      <c r="G80" s="1620">
        <f t="shared" si="3"/>
        <v>0.93</v>
      </c>
    </row>
    <row r="81" spans="1:7" ht="22.5" customHeight="1">
      <c r="A81" s="733"/>
      <c r="B81" s="1584"/>
      <c r="C81" s="1585" t="s">
        <v>184</v>
      </c>
      <c r="D81" s="1621"/>
      <c r="E81" s="1621">
        <f>E82</f>
        <v>10000</v>
      </c>
      <c r="F81" s="1621">
        <f>F82</f>
        <v>9997</v>
      </c>
      <c r="G81" s="1622">
        <f t="shared" si="3"/>
        <v>0.9997</v>
      </c>
    </row>
    <row r="82" spans="1:7" s="1582" customFormat="1" ht="19.5" customHeight="1">
      <c r="A82" s="715"/>
      <c r="B82" s="1578">
        <v>4300</v>
      </c>
      <c r="C82" s="1563" t="s">
        <v>159</v>
      </c>
      <c r="D82" s="1619"/>
      <c r="E82" s="1619">
        <v>10000</v>
      </c>
      <c r="F82" s="1619">
        <v>9997</v>
      </c>
      <c r="G82" s="1620">
        <f t="shared" si="3"/>
        <v>0.9997</v>
      </c>
    </row>
    <row r="83" spans="1:7" s="1582" customFormat="1" ht="20.25" customHeight="1">
      <c r="A83" s="715"/>
      <c r="B83" s="733"/>
      <c r="C83" s="1583" t="s">
        <v>185</v>
      </c>
      <c r="D83" s="1617"/>
      <c r="E83" s="1617">
        <f>E84</f>
        <v>10000</v>
      </c>
      <c r="F83" s="1617">
        <f>F84</f>
        <v>10000</v>
      </c>
      <c r="G83" s="1618">
        <f t="shared" si="3"/>
        <v>1</v>
      </c>
    </row>
    <row r="84" spans="1:7" s="1582" customFormat="1" ht="19.5" customHeight="1">
      <c r="A84" s="715"/>
      <c r="B84" s="1578">
        <v>4300</v>
      </c>
      <c r="C84" s="1563" t="s">
        <v>159</v>
      </c>
      <c r="D84" s="1595"/>
      <c r="E84" s="1595">
        <v>10000</v>
      </c>
      <c r="F84" s="1595">
        <v>10000</v>
      </c>
      <c r="G84" s="1596">
        <f t="shared" si="3"/>
        <v>1</v>
      </c>
    </row>
    <row r="85" spans="1:7" s="1582" customFormat="1" ht="19.5" customHeight="1">
      <c r="A85" s="715"/>
      <c r="B85" s="733"/>
      <c r="C85" s="1583" t="s">
        <v>186</v>
      </c>
      <c r="D85" s="1617">
        <f>D86</f>
        <v>40000</v>
      </c>
      <c r="E85" s="1617"/>
      <c r="F85" s="1617"/>
      <c r="G85" s="1618"/>
    </row>
    <row r="86" spans="1:7" s="1582" customFormat="1" ht="19.5" customHeight="1">
      <c r="A86" s="715"/>
      <c r="B86" s="1598">
        <v>4300</v>
      </c>
      <c r="C86" s="1608" t="s">
        <v>159</v>
      </c>
      <c r="D86" s="1623">
        <v>40000</v>
      </c>
      <c r="E86" s="1623"/>
      <c r="F86" s="1623"/>
      <c r="G86" s="1624"/>
    </row>
    <row r="87" spans="1:7" s="1582" customFormat="1" ht="19.5" customHeight="1">
      <c r="A87" s="1612"/>
      <c r="B87" s="1613"/>
      <c r="C87" s="1614"/>
      <c r="D87" s="1625"/>
      <c r="E87" s="1625"/>
      <c r="F87" s="1625"/>
      <c r="G87" s="1626"/>
    </row>
    <row r="88" spans="1:7" s="1582" customFormat="1" ht="25.5" customHeight="1">
      <c r="A88" s="715"/>
      <c r="B88" s="733"/>
      <c r="C88" s="1583" t="s">
        <v>187</v>
      </c>
      <c r="D88" s="1617">
        <f>D89</f>
        <v>10000</v>
      </c>
      <c r="E88" s="1617"/>
      <c r="F88" s="1617"/>
      <c r="G88" s="1618"/>
    </row>
    <row r="89" spans="1:7" s="1582" customFormat="1" ht="19.5" customHeight="1">
      <c r="A89" s="715"/>
      <c r="B89" s="1578">
        <v>4300</v>
      </c>
      <c r="C89" s="1563" t="s">
        <v>159</v>
      </c>
      <c r="D89" s="1595">
        <v>10000</v>
      </c>
      <c r="E89" s="1595"/>
      <c r="F89" s="1595"/>
      <c r="G89" s="1596"/>
    </row>
    <row r="90" spans="1:7" s="1582" customFormat="1" ht="19.5" customHeight="1">
      <c r="A90" s="715"/>
      <c r="B90" s="733"/>
      <c r="C90" s="1583" t="s">
        <v>188</v>
      </c>
      <c r="D90" s="1617">
        <f>D91</f>
        <v>30000</v>
      </c>
      <c r="E90" s="1617"/>
      <c r="F90" s="1617"/>
      <c r="G90" s="1618"/>
    </row>
    <row r="91" spans="1:7" s="1582" customFormat="1" ht="19.5" customHeight="1">
      <c r="A91" s="715"/>
      <c r="B91" s="1578">
        <v>4300</v>
      </c>
      <c r="C91" s="1563" t="s">
        <v>159</v>
      </c>
      <c r="D91" s="1595">
        <v>30000</v>
      </c>
      <c r="E91" s="1595"/>
      <c r="F91" s="1595"/>
      <c r="G91" s="1596"/>
    </row>
    <row r="92" spans="1:7" s="1582" customFormat="1" ht="25.5" customHeight="1">
      <c r="A92" s="715"/>
      <c r="B92" s="733"/>
      <c r="C92" s="1585" t="s">
        <v>189</v>
      </c>
      <c r="D92" s="1621">
        <f>D93</f>
        <v>80000</v>
      </c>
      <c r="E92" s="1621"/>
      <c r="F92" s="1621"/>
      <c r="G92" s="1622"/>
    </row>
    <row r="93" spans="1:7" s="1582" customFormat="1" ht="19.5" customHeight="1">
      <c r="A93" s="715"/>
      <c r="B93" s="1578">
        <v>4300</v>
      </c>
      <c r="C93" s="1563" t="s">
        <v>159</v>
      </c>
      <c r="D93" s="1595">
        <v>80000</v>
      </c>
      <c r="E93" s="1595"/>
      <c r="F93" s="1595"/>
      <c r="G93" s="1596"/>
    </row>
    <row r="94" spans="1:7" ht="19.5" customHeight="1">
      <c r="A94" s="733"/>
      <c r="B94" s="1627"/>
      <c r="C94" s="1628" t="s">
        <v>190</v>
      </c>
      <c r="D94" s="1629"/>
      <c r="E94" s="1629"/>
      <c r="F94" s="1630">
        <v>371118</v>
      </c>
      <c r="G94" s="1630"/>
    </row>
    <row r="95" spans="1:7" s="11" customFormat="1" ht="20.25" customHeight="1">
      <c r="A95" s="1631"/>
      <c r="B95" s="1632"/>
      <c r="C95" s="1633" t="s">
        <v>191</v>
      </c>
      <c r="D95" s="1601">
        <f>D10+D12-D26</f>
        <v>739505</v>
      </c>
      <c r="E95" s="1601">
        <f>E10+E12-E26</f>
        <v>609505</v>
      </c>
      <c r="F95" s="1634">
        <f>F10+F12-F26</f>
        <v>532569</v>
      </c>
      <c r="G95" s="1635"/>
    </row>
    <row r="96" spans="1:7" s="11" customFormat="1" ht="15" customHeight="1" hidden="1">
      <c r="A96" s="1631"/>
      <c r="B96" s="1632"/>
      <c r="C96" s="1636" t="s">
        <v>141</v>
      </c>
      <c r="D96" s="1623" t="e">
        <f>D11+D14-#REF!-#REF!-#REF!-D28</f>
        <v>#REF!</v>
      </c>
      <c r="E96" s="1637"/>
      <c r="F96" s="1637"/>
      <c r="G96" s="1638" t="e">
        <f>F96/E96</f>
        <v>#DIV/0!</v>
      </c>
    </row>
    <row r="97" spans="1:7" s="891" customFormat="1" ht="19.5" customHeight="1">
      <c r="A97" s="741"/>
      <c r="B97" s="1639"/>
      <c r="C97" s="1640" t="s">
        <v>155</v>
      </c>
      <c r="D97" s="1641">
        <f>D26+D95</f>
        <v>4539505</v>
      </c>
      <c r="E97" s="1641">
        <f>E26+E95</f>
        <v>4729505</v>
      </c>
      <c r="F97" s="1642">
        <f>F26+F95</f>
        <v>4507955</v>
      </c>
      <c r="G97" s="1643"/>
    </row>
    <row r="98" ht="14.25">
      <c r="G98" s="681"/>
    </row>
    <row r="99" ht="14.25">
      <c r="G99" s="681"/>
    </row>
    <row r="100" spans="6:7" ht="14.25">
      <c r="F100" s="1980" t="s">
        <v>449</v>
      </c>
      <c r="G100" s="681"/>
    </row>
    <row r="101" spans="6:7" ht="14.25">
      <c r="F101" s="1980" t="s">
        <v>450</v>
      </c>
      <c r="G101" s="681"/>
    </row>
    <row r="102" spans="6:7" ht="14.25">
      <c r="F102" s="1980" t="s">
        <v>451</v>
      </c>
      <c r="G102" s="681"/>
    </row>
    <row r="103" ht="14.25">
      <c r="G103" s="681"/>
    </row>
    <row r="104" ht="14.25">
      <c r="G104" s="681"/>
    </row>
    <row r="105" ht="14.25">
      <c r="G105" s="681"/>
    </row>
    <row r="106" ht="14.25">
      <c r="G106" s="681"/>
    </row>
    <row r="107" ht="14.25">
      <c r="G107" s="681"/>
    </row>
    <row r="108" ht="14.25">
      <c r="G108" s="681"/>
    </row>
    <row r="109" ht="14.25">
      <c r="G109" s="681"/>
    </row>
    <row r="110" ht="14.25">
      <c r="G110" s="681"/>
    </row>
    <row r="111" ht="14.25">
      <c r="G111" s="681"/>
    </row>
    <row r="112" ht="14.25">
      <c r="G112" s="681"/>
    </row>
    <row r="113" ht="14.25">
      <c r="G113" s="681"/>
    </row>
    <row r="114" ht="14.25">
      <c r="G114" s="681"/>
    </row>
    <row r="115" ht="14.25">
      <c r="G115" s="681"/>
    </row>
    <row r="116" ht="14.25">
      <c r="G116" s="681"/>
    </row>
    <row r="117" ht="14.25">
      <c r="G117" s="681"/>
    </row>
    <row r="118" ht="14.25">
      <c r="G118" s="681"/>
    </row>
    <row r="119" ht="14.25">
      <c r="G119" s="681"/>
    </row>
    <row r="120" ht="14.25">
      <c r="G120" s="681"/>
    </row>
    <row r="121" ht="14.25">
      <c r="G121" s="681"/>
    </row>
    <row r="122" ht="14.25">
      <c r="G122" s="681"/>
    </row>
    <row r="123" ht="14.25">
      <c r="G123" s="681"/>
    </row>
    <row r="124" ht="14.25">
      <c r="G124" s="681"/>
    </row>
    <row r="125" ht="14.25">
      <c r="G125" s="681"/>
    </row>
    <row r="126" ht="14.25">
      <c r="G126" s="681"/>
    </row>
    <row r="127" ht="14.25">
      <c r="G127" s="681"/>
    </row>
    <row r="128" ht="14.25">
      <c r="G128" s="681"/>
    </row>
    <row r="129" ht="14.25">
      <c r="G129" s="681"/>
    </row>
    <row r="130" ht="14.25">
      <c r="G130" s="681"/>
    </row>
    <row r="131" ht="14.25">
      <c r="G131" s="681"/>
    </row>
    <row r="132" ht="14.25">
      <c r="G132" s="681"/>
    </row>
    <row r="133" ht="14.25">
      <c r="G133" s="681"/>
    </row>
    <row r="134" ht="14.25">
      <c r="G134" s="681"/>
    </row>
    <row r="135" ht="14.25">
      <c r="G135" s="681"/>
    </row>
    <row r="136" ht="14.25">
      <c r="G136" s="681"/>
    </row>
    <row r="137" ht="14.25">
      <c r="G137" s="681"/>
    </row>
    <row r="138" ht="14.25">
      <c r="G138" s="681"/>
    </row>
    <row r="139" ht="14.25">
      <c r="G139" s="681"/>
    </row>
    <row r="140" ht="14.25">
      <c r="G140" s="681"/>
    </row>
    <row r="141" ht="14.25">
      <c r="G141" s="681"/>
    </row>
    <row r="142" ht="14.25">
      <c r="G142" s="681"/>
    </row>
    <row r="143" ht="14.25">
      <c r="G143" s="681"/>
    </row>
    <row r="144" ht="14.25">
      <c r="G144" s="681"/>
    </row>
    <row r="145" ht="14.25">
      <c r="G145" s="681"/>
    </row>
    <row r="146" ht="14.25">
      <c r="G146" s="681"/>
    </row>
    <row r="147" ht="14.25">
      <c r="G147" s="681"/>
    </row>
    <row r="148" ht="14.25">
      <c r="G148" s="681"/>
    </row>
    <row r="149" ht="14.25">
      <c r="G149" s="681"/>
    </row>
    <row r="150" ht="14.25">
      <c r="G150" s="681"/>
    </row>
    <row r="151" ht="14.25">
      <c r="G151" s="681"/>
    </row>
    <row r="152" ht="14.25">
      <c r="G152" s="681"/>
    </row>
    <row r="153" ht="14.25">
      <c r="G153" s="681"/>
    </row>
    <row r="154" ht="14.25">
      <c r="G154" s="681"/>
    </row>
    <row r="155" ht="14.25">
      <c r="G155" s="681"/>
    </row>
    <row r="156" ht="14.25">
      <c r="G156" s="681"/>
    </row>
  </sheetData>
  <mergeCells count="7">
    <mergeCell ref="E7:E8"/>
    <mergeCell ref="F7:F8"/>
    <mergeCell ref="G7:G8"/>
    <mergeCell ref="A7:A8"/>
    <mergeCell ref="B7:B8"/>
    <mergeCell ref="C7:C8"/>
    <mergeCell ref="D7:D8"/>
  </mergeCells>
  <printOptions horizontalCentered="1"/>
  <pageMargins left="0.5905511811023623" right="0.5905511811023623" top="0.7086614173228347" bottom="0.6692913385826772" header="0.5118110236220472" footer="0.5118110236220472"/>
  <pageSetup firstPageNumber="65" useFirstPageNumber="1" horizontalDpi="600" verticalDpi="600" orientation="landscape" paperSize="9" scale="8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workbookViewId="0" topLeftCell="A1">
      <selection activeCell="F42" sqref="F42:F44"/>
    </sheetView>
  </sheetViews>
  <sheetFormatPr defaultColWidth="9.00390625" defaultRowHeight="12.75"/>
  <cols>
    <col min="1" max="1" width="10.625" style="0" customWidth="1"/>
    <col min="2" max="2" width="10.75390625" style="0" customWidth="1"/>
    <col min="3" max="3" width="69.25390625" style="0" customWidth="1"/>
    <col min="4" max="5" width="19.375" style="0" customWidth="1"/>
    <col min="6" max="6" width="16.875" style="0" customWidth="1"/>
    <col min="7" max="7" width="11.375" style="0" customWidth="1"/>
  </cols>
  <sheetData>
    <row r="1" spans="4:7" ht="14.25">
      <c r="D1" s="869"/>
      <c r="E1" s="869"/>
      <c r="F1" s="869" t="s">
        <v>192</v>
      </c>
      <c r="G1" s="869"/>
    </row>
    <row r="2" spans="1:7" ht="15.75">
      <c r="A2" s="1644"/>
      <c r="D2" s="869"/>
      <c r="E2" s="869"/>
      <c r="F2" s="3" t="s">
        <v>977</v>
      </c>
      <c r="G2" s="680"/>
    </row>
    <row r="3" spans="1:7" ht="15.75">
      <c r="A3" s="1645" t="s">
        <v>193</v>
      </c>
      <c r="C3" s="1243"/>
      <c r="D3" s="869"/>
      <c r="E3" s="869"/>
      <c r="F3" s="11" t="s">
        <v>292</v>
      </c>
      <c r="G3" s="680"/>
    </row>
    <row r="4" spans="1:7" ht="13.5" customHeight="1">
      <c r="A4" s="1645"/>
      <c r="D4" s="869"/>
      <c r="E4" s="869"/>
      <c r="F4" s="11" t="s">
        <v>978</v>
      </c>
      <c r="G4" s="680"/>
    </row>
    <row r="5" spans="1:7" ht="13.5" customHeight="1">
      <c r="A5" s="1645"/>
      <c r="D5" s="869"/>
      <c r="E5" s="869"/>
      <c r="F5" s="869"/>
      <c r="G5" s="869"/>
    </row>
    <row r="6" spans="1:7" ht="14.25" customHeight="1" thickBot="1">
      <c r="A6" s="1646"/>
      <c r="B6" s="1647"/>
      <c r="C6" s="1646"/>
      <c r="D6" s="869"/>
      <c r="E6" s="869"/>
      <c r="F6" s="869"/>
      <c r="G6" s="869" t="s">
        <v>297</v>
      </c>
    </row>
    <row r="7" spans="1:7" ht="22.5" customHeight="1" thickTop="1">
      <c r="A7" s="1937" t="s">
        <v>303</v>
      </c>
      <c r="B7" s="1937" t="s">
        <v>194</v>
      </c>
      <c r="C7" s="1937" t="s">
        <v>137</v>
      </c>
      <c r="D7" s="1937" t="s">
        <v>299</v>
      </c>
      <c r="E7" s="1937" t="s">
        <v>195</v>
      </c>
      <c r="F7" s="1937" t="s">
        <v>196</v>
      </c>
      <c r="G7" s="1937" t="s">
        <v>958</v>
      </c>
    </row>
    <row r="8" spans="1:7" ht="79.5" customHeight="1" thickBot="1">
      <c r="A8" s="1948"/>
      <c r="B8" s="1948"/>
      <c r="C8" s="1948"/>
      <c r="D8" s="1970"/>
      <c r="E8" s="1973"/>
      <c r="F8" s="1973"/>
      <c r="G8" s="1938"/>
    </row>
    <row r="9" spans="1:7" ht="14.25" thickBot="1" thickTop="1">
      <c r="A9" s="1267">
        <v>1</v>
      </c>
      <c r="B9" s="1267">
        <v>2</v>
      </c>
      <c r="C9" s="1267">
        <v>3</v>
      </c>
      <c r="D9" s="1556">
        <v>4</v>
      </c>
      <c r="E9" s="1556">
        <v>5</v>
      </c>
      <c r="F9" s="1556">
        <v>6</v>
      </c>
      <c r="G9" s="1648">
        <v>7</v>
      </c>
    </row>
    <row r="10" spans="1:7" s="869" customFormat="1" ht="24.75" customHeight="1" thickTop="1">
      <c r="A10" s="1557"/>
      <c r="B10" s="1557"/>
      <c r="C10" s="1558" t="s">
        <v>140</v>
      </c>
      <c r="D10" s="1559">
        <v>381841</v>
      </c>
      <c r="E10" s="1560">
        <v>381841</v>
      </c>
      <c r="F10" s="1560">
        <v>381840</v>
      </c>
      <c r="G10" s="1561"/>
    </row>
    <row r="11" spans="1:7" s="869" customFormat="1" ht="15" customHeight="1" hidden="1">
      <c r="A11" s="1562"/>
      <c r="B11" s="1562"/>
      <c r="C11" s="1563" t="s">
        <v>141</v>
      </c>
      <c r="D11" s="1564" t="e">
        <f>#REF!</f>
        <v>#REF!</v>
      </c>
      <c r="E11" s="1565"/>
      <c r="F11" s="1565"/>
      <c r="G11" s="1649"/>
    </row>
    <row r="12" spans="1:7" s="1499" customFormat="1" ht="24" customHeight="1">
      <c r="A12" s="1650"/>
      <c r="B12" s="1651"/>
      <c r="C12" s="1652" t="s">
        <v>197</v>
      </c>
      <c r="D12" s="1653">
        <f>D13</f>
        <v>901000</v>
      </c>
      <c r="E12" s="1654">
        <f>E13</f>
        <v>901000</v>
      </c>
      <c r="F12" s="1654">
        <f>F13</f>
        <v>759087</v>
      </c>
      <c r="G12" s="1655">
        <f aca="true" t="shared" si="0" ref="G12:G18">F12/E12</f>
        <v>0.8424938956714761</v>
      </c>
    </row>
    <row r="13" spans="1:7" s="891" customFormat="1" ht="24.75" customHeight="1">
      <c r="A13" s="769">
        <v>900</v>
      </c>
      <c r="B13" s="1572"/>
      <c r="C13" s="770" t="s">
        <v>413</v>
      </c>
      <c r="D13" s="731">
        <f>SUM(D14)</f>
        <v>901000</v>
      </c>
      <c r="E13" s="721">
        <f>E14</f>
        <v>901000</v>
      </c>
      <c r="F13" s="721">
        <f>F14</f>
        <v>759087</v>
      </c>
      <c r="G13" s="1656">
        <f t="shared" si="0"/>
        <v>0.8424938956714761</v>
      </c>
    </row>
    <row r="14" spans="1:7" s="869" customFormat="1" ht="21" customHeight="1">
      <c r="A14" s="733"/>
      <c r="B14" s="741">
        <v>90011</v>
      </c>
      <c r="C14" s="757" t="s">
        <v>416</v>
      </c>
      <c r="D14" s="712">
        <f>D15+D17</f>
        <v>901000</v>
      </c>
      <c r="E14" s="1053">
        <f>E15+E17</f>
        <v>901000</v>
      </c>
      <c r="F14" s="1053">
        <f>F15+F17</f>
        <v>759087</v>
      </c>
      <c r="G14" s="1657">
        <f t="shared" si="0"/>
        <v>0.8424938956714761</v>
      </c>
    </row>
    <row r="15" spans="1:7" s="869" customFormat="1" ht="30" customHeight="1">
      <c r="A15" s="733"/>
      <c r="B15" s="733"/>
      <c r="C15" s="1577" t="s">
        <v>149</v>
      </c>
      <c r="D15" s="726">
        <f>D16</f>
        <v>900000</v>
      </c>
      <c r="E15" s="1658">
        <f>E16</f>
        <v>900000</v>
      </c>
      <c r="F15" s="1658">
        <f>F16</f>
        <v>758222</v>
      </c>
      <c r="G15" s="1659">
        <f t="shared" si="0"/>
        <v>0.8424688888888889</v>
      </c>
    </row>
    <row r="16" spans="1:7" s="1582" customFormat="1" ht="19.5" customHeight="1">
      <c r="A16" s="715"/>
      <c r="B16" s="751">
        <v>296</v>
      </c>
      <c r="C16" s="1579" t="s">
        <v>150</v>
      </c>
      <c r="D16" s="1605">
        <v>900000</v>
      </c>
      <c r="E16" s="1605">
        <v>900000</v>
      </c>
      <c r="F16" s="1605">
        <v>758222</v>
      </c>
      <c r="G16" s="1660">
        <f t="shared" si="0"/>
        <v>0.8424688888888889</v>
      </c>
    </row>
    <row r="17" spans="1:7" s="869" customFormat="1" ht="30.75" customHeight="1">
      <c r="A17" s="733"/>
      <c r="B17" s="733"/>
      <c r="C17" s="1585" t="s">
        <v>198</v>
      </c>
      <c r="D17" s="726">
        <f>D18</f>
        <v>1000</v>
      </c>
      <c r="E17" s="1586">
        <f>E18</f>
        <v>1000</v>
      </c>
      <c r="F17" s="1586">
        <f>F18</f>
        <v>865</v>
      </c>
      <c r="G17" s="1661">
        <f t="shared" si="0"/>
        <v>0.865</v>
      </c>
    </row>
    <row r="18" spans="1:7" s="1582" customFormat="1" ht="19.5" customHeight="1">
      <c r="A18" s="715"/>
      <c r="B18" s="1662" t="s">
        <v>147</v>
      </c>
      <c r="C18" s="1563" t="s">
        <v>148</v>
      </c>
      <c r="D18" s="752">
        <v>1000</v>
      </c>
      <c r="E18" s="752">
        <v>1000</v>
      </c>
      <c r="F18" s="752">
        <v>865</v>
      </c>
      <c r="G18" s="1663">
        <f t="shared" si="0"/>
        <v>0.865</v>
      </c>
    </row>
    <row r="19" spans="1:7" s="869" customFormat="1" ht="19.5" customHeight="1">
      <c r="A19" s="1664"/>
      <c r="B19" s="733"/>
      <c r="C19" s="741" t="s">
        <v>155</v>
      </c>
      <c r="D19" s="742">
        <f>D10+D12</f>
        <v>1282841</v>
      </c>
      <c r="E19" s="1053">
        <f>E10+E12</f>
        <v>1282841</v>
      </c>
      <c r="F19" s="1053">
        <f>F10+F12</f>
        <v>1140927</v>
      </c>
      <c r="G19" s="1657"/>
    </row>
    <row r="20" spans="1:7" s="11" customFormat="1" ht="21" customHeight="1">
      <c r="A20" s="1665"/>
      <c r="B20" s="1665"/>
      <c r="C20" s="1666" t="s">
        <v>199</v>
      </c>
      <c r="D20" s="1667">
        <f>SUM(D21)</f>
        <v>1250000</v>
      </c>
      <c r="E20" s="1570">
        <f>E21</f>
        <v>1250000</v>
      </c>
      <c r="F20" s="1570">
        <f>F21</f>
        <v>972318</v>
      </c>
      <c r="G20" s="1668">
        <f aca="true" t="shared" si="1" ref="G20:G26">F20/E20</f>
        <v>0.7778544</v>
      </c>
    </row>
    <row r="21" spans="1:7" s="869" customFormat="1" ht="21" customHeight="1">
      <c r="A21" s="769">
        <v>900</v>
      </c>
      <c r="B21" s="1572"/>
      <c r="C21" s="770" t="s">
        <v>413</v>
      </c>
      <c r="D21" s="731">
        <f>SUM(D22)</f>
        <v>1250000</v>
      </c>
      <c r="E21" s="721">
        <f>E22</f>
        <v>1250000</v>
      </c>
      <c r="F21" s="721">
        <f>F22</f>
        <v>972318</v>
      </c>
      <c r="G21" s="1669">
        <f t="shared" si="1"/>
        <v>0.7778544</v>
      </c>
    </row>
    <row r="22" spans="1:7" s="869" customFormat="1" ht="21" customHeight="1">
      <c r="A22" s="733"/>
      <c r="B22" s="741">
        <v>90011</v>
      </c>
      <c r="C22" s="757" t="s">
        <v>416</v>
      </c>
      <c r="D22" s="712">
        <f>D23+D25+D29+D32+D36</f>
        <v>1250000</v>
      </c>
      <c r="E22" s="712">
        <f>E23+E25+E29+E32+E34+E36</f>
        <v>1250000</v>
      </c>
      <c r="F22" s="712">
        <f>F23+F25+F29+F32+F34+F36</f>
        <v>972318</v>
      </c>
      <c r="G22" s="1670">
        <f t="shared" si="1"/>
        <v>0.7778544</v>
      </c>
    </row>
    <row r="23" spans="1:7" s="869" customFormat="1" ht="18.75" customHeight="1">
      <c r="A23" s="733"/>
      <c r="B23" s="733"/>
      <c r="C23" s="1577" t="s">
        <v>200</v>
      </c>
      <c r="D23" s="727">
        <f>D24</f>
        <v>486000</v>
      </c>
      <c r="E23" s="1671">
        <f>E24</f>
        <v>486000</v>
      </c>
      <c r="F23" s="1671">
        <f>F24</f>
        <v>486000</v>
      </c>
      <c r="G23" s="1661">
        <f t="shared" si="1"/>
        <v>1</v>
      </c>
    </row>
    <row r="24" spans="1:7" s="1582" customFormat="1" ht="18.75" customHeight="1">
      <c r="A24" s="715"/>
      <c r="B24" s="1578">
        <v>4300</v>
      </c>
      <c r="C24" s="1579" t="s">
        <v>159</v>
      </c>
      <c r="D24" s="1605">
        <v>486000</v>
      </c>
      <c r="E24" s="1606">
        <v>486000</v>
      </c>
      <c r="F24" s="1606">
        <v>486000</v>
      </c>
      <c r="G24" s="1672">
        <f t="shared" si="1"/>
        <v>1</v>
      </c>
    </row>
    <row r="25" spans="1:7" s="869" customFormat="1" ht="29.25" customHeight="1">
      <c r="A25" s="733"/>
      <c r="B25" s="1673"/>
      <c r="C25" s="1583" t="s">
        <v>201</v>
      </c>
      <c r="D25" s="727">
        <f>D28</f>
        <v>50000</v>
      </c>
      <c r="E25" s="1671">
        <f>SUM(E26:E28)</f>
        <v>50000</v>
      </c>
      <c r="F25" s="1671">
        <f>SUM(F26:F28)</f>
        <v>49524</v>
      </c>
      <c r="G25" s="1674">
        <f t="shared" si="1"/>
        <v>0.99048</v>
      </c>
    </row>
    <row r="26" spans="1:7" s="1582" customFormat="1" ht="22.5" customHeight="1">
      <c r="A26" s="715"/>
      <c r="B26" s="715">
        <v>4210</v>
      </c>
      <c r="C26" s="1675" t="s">
        <v>158</v>
      </c>
      <c r="D26" s="821"/>
      <c r="E26" s="1676">
        <v>6228</v>
      </c>
      <c r="F26" s="1676">
        <v>6228</v>
      </c>
      <c r="G26" s="1677">
        <f t="shared" si="1"/>
        <v>1</v>
      </c>
    </row>
    <row r="27" spans="3:7" s="1612" customFormat="1" ht="22.5" customHeight="1">
      <c r="C27" s="1678"/>
      <c r="D27" s="1615"/>
      <c r="E27" s="1615"/>
      <c r="F27" s="1615"/>
      <c r="G27" s="1679"/>
    </row>
    <row r="28" spans="1:7" s="1597" customFormat="1" ht="18.75" customHeight="1">
      <c r="A28" s="715"/>
      <c r="B28" s="1578">
        <v>4300</v>
      </c>
      <c r="C28" s="1563" t="s">
        <v>159</v>
      </c>
      <c r="D28" s="752">
        <v>50000</v>
      </c>
      <c r="E28" s="1580">
        <v>43772</v>
      </c>
      <c r="F28" s="1580">
        <v>43296</v>
      </c>
      <c r="G28" s="1680">
        <f>F28/E28</f>
        <v>0.9891254683359225</v>
      </c>
    </row>
    <row r="29" spans="1:7" s="869" customFormat="1" ht="19.5" customHeight="1">
      <c r="A29" s="733"/>
      <c r="B29" s="1673"/>
      <c r="C29" s="1583" t="s">
        <v>202</v>
      </c>
      <c r="D29" s="727">
        <f>D31</f>
        <v>114000</v>
      </c>
      <c r="E29" s="1671">
        <f>SUM(E30:E31)</f>
        <v>114000</v>
      </c>
      <c r="F29" s="1671">
        <f>SUM(F30:F31)</f>
        <v>114000</v>
      </c>
      <c r="G29" s="1674">
        <f>F29/E29</f>
        <v>1</v>
      </c>
    </row>
    <row r="30" spans="1:7" s="1582" customFormat="1" ht="19.5" customHeight="1">
      <c r="A30" s="715"/>
      <c r="B30" s="751">
        <v>4210</v>
      </c>
      <c r="C30" s="1563" t="s">
        <v>203</v>
      </c>
      <c r="D30" s="752"/>
      <c r="E30" s="1580">
        <v>114000</v>
      </c>
      <c r="F30" s="1580">
        <v>114000</v>
      </c>
      <c r="G30" s="1680">
        <f>F30/E30</f>
        <v>1</v>
      </c>
    </row>
    <row r="31" spans="1:7" s="1582" customFormat="1" ht="18.75" customHeight="1">
      <c r="A31" s="715"/>
      <c r="B31" s="1578">
        <v>4300</v>
      </c>
      <c r="C31" s="1563" t="s">
        <v>159</v>
      </c>
      <c r="D31" s="752">
        <v>114000</v>
      </c>
      <c r="E31" s="1580"/>
      <c r="F31" s="1580"/>
      <c r="G31" s="1680"/>
    </row>
    <row r="32" spans="1:7" s="869" customFormat="1" ht="19.5" customHeight="1">
      <c r="A32" s="733"/>
      <c r="B32" s="1673"/>
      <c r="C32" s="1585" t="s">
        <v>204</v>
      </c>
      <c r="D32" s="726">
        <f>D33</f>
        <v>250000</v>
      </c>
      <c r="E32" s="1586">
        <f>E33</f>
        <v>50000</v>
      </c>
      <c r="F32" s="1586">
        <f>F33</f>
        <v>49990</v>
      </c>
      <c r="G32" s="1661">
        <f aca="true" t="shared" si="2" ref="G32:G37">F32/E32</f>
        <v>0.9998</v>
      </c>
    </row>
    <row r="33" spans="1:7" s="1582" customFormat="1" ht="19.5" customHeight="1">
      <c r="A33" s="715"/>
      <c r="B33" s="751">
        <v>6110</v>
      </c>
      <c r="C33" s="1563" t="s">
        <v>162</v>
      </c>
      <c r="D33" s="752">
        <v>250000</v>
      </c>
      <c r="E33" s="1580">
        <v>50000</v>
      </c>
      <c r="F33" s="1580">
        <v>49990</v>
      </c>
      <c r="G33" s="1680">
        <f t="shared" si="2"/>
        <v>0.9998</v>
      </c>
    </row>
    <row r="34" spans="1:7" s="869" customFormat="1" ht="19.5" customHeight="1">
      <c r="A34" s="733"/>
      <c r="B34" s="1673"/>
      <c r="C34" s="1585" t="s">
        <v>161</v>
      </c>
      <c r="D34" s="726"/>
      <c r="E34" s="1586">
        <f>E35</f>
        <v>200000</v>
      </c>
      <c r="F34" s="1586">
        <f>F35</f>
        <v>200000</v>
      </c>
      <c r="G34" s="1661">
        <f t="shared" si="2"/>
        <v>1</v>
      </c>
    </row>
    <row r="35" spans="1:7" s="1582" customFormat="1" ht="19.5" customHeight="1">
      <c r="A35" s="715"/>
      <c r="B35" s="751">
        <v>6110</v>
      </c>
      <c r="C35" s="1563" t="s">
        <v>162</v>
      </c>
      <c r="D35" s="752"/>
      <c r="E35" s="1580">
        <v>200000</v>
      </c>
      <c r="F35" s="1580">
        <v>200000</v>
      </c>
      <c r="G35" s="1680">
        <f t="shared" si="2"/>
        <v>1</v>
      </c>
    </row>
    <row r="36" spans="1:7" s="1582" customFormat="1" ht="19.5" customHeight="1">
      <c r="A36" s="715"/>
      <c r="B36" s="1673"/>
      <c r="C36" s="1585" t="s">
        <v>205</v>
      </c>
      <c r="D36" s="1621">
        <f>D37</f>
        <v>350000</v>
      </c>
      <c r="E36" s="1621">
        <f>E37</f>
        <v>350000</v>
      </c>
      <c r="F36" s="1621">
        <f>F37</f>
        <v>72804</v>
      </c>
      <c r="G36" s="1622">
        <f t="shared" si="2"/>
        <v>0.20801142857142857</v>
      </c>
    </row>
    <row r="37" spans="1:7" s="1582" customFormat="1" ht="19.5" customHeight="1">
      <c r="A37" s="715"/>
      <c r="B37" s="751">
        <v>6110</v>
      </c>
      <c r="C37" s="1563" t="s">
        <v>162</v>
      </c>
      <c r="D37" s="1595">
        <v>350000</v>
      </c>
      <c r="E37" s="1595">
        <v>350000</v>
      </c>
      <c r="F37" s="1595">
        <v>72804</v>
      </c>
      <c r="G37" s="1596">
        <f t="shared" si="2"/>
        <v>0.20801142857142857</v>
      </c>
    </row>
    <row r="38" spans="1:7" s="11" customFormat="1" ht="19.5" customHeight="1">
      <c r="A38" s="1631"/>
      <c r="B38" s="1632"/>
      <c r="C38" s="755" t="s">
        <v>191</v>
      </c>
      <c r="D38" s="1595">
        <f>D19-D20</f>
        <v>32841</v>
      </c>
      <c r="E38" s="1595">
        <f>E19-E20</f>
        <v>32841</v>
      </c>
      <c r="F38" s="1681">
        <f>F19-F20</f>
        <v>168609</v>
      </c>
      <c r="G38" s="1649"/>
    </row>
    <row r="39" spans="1:7" s="11" customFormat="1" ht="15" customHeight="1" hidden="1">
      <c r="A39" s="1631"/>
      <c r="B39" s="1632"/>
      <c r="C39" s="755" t="s">
        <v>141</v>
      </c>
      <c r="D39" s="1595" t="e">
        <f>D11+D14-D22</f>
        <v>#REF!</v>
      </c>
      <c r="E39" s="1681"/>
      <c r="F39" s="1681"/>
      <c r="G39" s="1649"/>
    </row>
    <row r="40" spans="1:7" s="869" customFormat="1" ht="19.5" customHeight="1">
      <c r="A40" s="738"/>
      <c r="B40" s="771"/>
      <c r="C40" s="1639" t="s">
        <v>155</v>
      </c>
      <c r="D40" s="742">
        <f>SUM(D20+D38)</f>
        <v>1282841</v>
      </c>
      <c r="E40" s="742">
        <f>SUM(E20+E38)</f>
        <v>1282841</v>
      </c>
      <c r="F40" s="1053">
        <f>SUM(F20+F38)</f>
        <v>1140927</v>
      </c>
      <c r="G40" s="1682"/>
    </row>
    <row r="41" s="869" customFormat="1" ht="19.5" customHeight="1"/>
    <row r="42" spans="4:6" s="869" customFormat="1" ht="19.5" customHeight="1">
      <c r="D42" s="678"/>
      <c r="E42" s="678"/>
      <c r="F42" s="1980" t="s">
        <v>449</v>
      </c>
    </row>
    <row r="43" ht="12.75">
      <c r="F43" s="1980" t="s">
        <v>450</v>
      </c>
    </row>
    <row r="44" ht="12.75">
      <c r="F44" s="1980" t="s">
        <v>451</v>
      </c>
    </row>
  </sheetData>
  <mergeCells count="7">
    <mergeCell ref="D7:D8"/>
    <mergeCell ref="G7:G8"/>
    <mergeCell ref="A7:A8"/>
    <mergeCell ref="B7:B8"/>
    <mergeCell ref="C7:C8"/>
    <mergeCell ref="E7:E8"/>
    <mergeCell ref="F7:F8"/>
  </mergeCells>
  <printOptions horizontalCentered="1"/>
  <pageMargins left="0.5905511811023623" right="0.5905511811023623" top="0.6692913385826772" bottom="0.7086614173228347" header="0.5118110236220472" footer="0.5118110236220472"/>
  <pageSetup firstPageNumber="69" useFirstPageNumber="1" horizontalDpi="600" verticalDpi="600" orientation="landscape" paperSize="9" scale="8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zoomScale="75" zoomScaleNormal="75" workbookViewId="0" topLeftCell="A1">
      <selection activeCell="F41" sqref="F41:F43"/>
    </sheetView>
  </sheetViews>
  <sheetFormatPr defaultColWidth="9.00390625" defaultRowHeight="12.75"/>
  <cols>
    <col min="1" max="1" width="7.875" style="0" customWidth="1"/>
    <col min="2" max="2" width="7.875" style="902" customWidth="1"/>
    <col min="3" max="3" width="69.25390625" style="0" customWidth="1"/>
    <col min="4" max="7" width="16.00390625" style="0" customWidth="1"/>
  </cols>
  <sheetData>
    <row r="1" spans="3:7" ht="14.25">
      <c r="C1" s="1683"/>
      <c r="E1" s="869"/>
      <c r="F1" s="869" t="s">
        <v>206</v>
      </c>
      <c r="G1" s="869"/>
    </row>
    <row r="2" spans="1:7" ht="15.75">
      <c r="A2" s="1684" t="s">
        <v>207</v>
      </c>
      <c r="C2" s="1683"/>
      <c r="D2" s="869"/>
      <c r="E2" s="869"/>
      <c r="F2" s="3" t="s">
        <v>977</v>
      </c>
      <c r="G2" s="869"/>
    </row>
    <row r="3" spans="1:7" ht="13.5" customHeight="1">
      <c r="A3" s="875" t="s">
        <v>208</v>
      </c>
      <c r="C3" s="1685"/>
      <c r="D3" s="869"/>
      <c r="E3" s="869"/>
      <c r="F3" s="11" t="s">
        <v>292</v>
      </c>
      <c r="G3" s="869"/>
    </row>
    <row r="4" spans="1:7" ht="13.5" customHeight="1">
      <c r="A4" s="875" t="s">
        <v>209</v>
      </c>
      <c r="B4" s="1686"/>
      <c r="C4" s="1683"/>
      <c r="D4" s="869"/>
      <c r="E4" s="869"/>
      <c r="F4" s="11" t="s">
        <v>978</v>
      </c>
      <c r="G4" s="869"/>
    </row>
    <row r="5" spans="1:7" ht="13.5" customHeight="1">
      <c r="A5" s="875"/>
      <c r="B5" s="1686"/>
      <c r="C5" s="1683"/>
      <c r="D5" s="869"/>
      <c r="E5" s="869"/>
      <c r="F5" s="869"/>
      <c r="G5" s="869"/>
    </row>
    <row r="6" spans="1:7" ht="15.75" thickBot="1">
      <c r="A6" s="1646"/>
      <c r="B6" s="1687"/>
      <c r="C6" s="1646"/>
      <c r="D6" s="869"/>
      <c r="E6" s="869"/>
      <c r="F6" s="869"/>
      <c r="G6" s="879" t="s">
        <v>297</v>
      </c>
    </row>
    <row r="7" spans="1:7" s="297" customFormat="1" ht="19.5" customHeight="1" thickTop="1">
      <c r="A7" s="1941" t="s">
        <v>303</v>
      </c>
      <c r="B7" s="1974" t="s">
        <v>194</v>
      </c>
      <c r="C7" s="1941" t="s">
        <v>137</v>
      </c>
      <c r="D7" s="1937" t="s">
        <v>210</v>
      </c>
      <c r="E7" s="1937" t="s">
        <v>211</v>
      </c>
      <c r="F7" s="1937" t="s">
        <v>212</v>
      </c>
      <c r="G7" s="1937" t="s">
        <v>958</v>
      </c>
    </row>
    <row r="8" spans="1:8" ht="48" customHeight="1" thickBot="1">
      <c r="A8" s="1970"/>
      <c r="B8" s="1975"/>
      <c r="C8" s="1970"/>
      <c r="D8" s="1970"/>
      <c r="E8" s="1970"/>
      <c r="F8" s="1970"/>
      <c r="G8" s="1970"/>
      <c r="H8" s="297"/>
    </row>
    <row r="9" spans="1:8" ht="14.25" thickBot="1" thickTop="1">
      <c r="A9" s="1267">
        <v>1</v>
      </c>
      <c r="B9" s="1688">
        <v>2</v>
      </c>
      <c r="C9" s="1267">
        <v>3</v>
      </c>
      <c r="D9" s="1689">
        <v>4</v>
      </c>
      <c r="E9" s="1689">
        <v>5</v>
      </c>
      <c r="F9" s="1689">
        <v>6</v>
      </c>
      <c r="G9" s="1690">
        <v>7</v>
      </c>
      <c r="H9" s="297"/>
    </row>
    <row r="10" spans="1:7" s="869" customFormat="1" ht="24.75" customHeight="1" thickTop="1">
      <c r="A10" s="1557"/>
      <c r="B10" s="1691"/>
      <c r="C10" s="1558" t="s">
        <v>140</v>
      </c>
      <c r="D10" s="1692">
        <v>525196</v>
      </c>
      <c r="E10" s="1692">
        <v>1084598</v>
      </c>
      <c r="F10" s="1692">
        <v>1084598</v>
      </c>
      <c r="G10" s="1693"/>
    </row>
    <row r="11" spans="1:7" s="869" customFormat="1" ht="15" customHeight="1" hidden="1">
      <c r="A11" s="1562"/>
      <c r="B11" s="1694"/>
      <c r="C11" s="1563" t="s">
        <v>141</v>
      </c>
      <c r="D11" s="1695" t="e">
        <f>#REF!</f>
        <v>#REF!</v>
      </c>
      <c r="E11" s="1696"/>
      <c r="F11" s="1696"/>
      <c r="G11" s="1697" t="e">
        <f aca="true" t="shared" si="0" ref="G11:G18">F11/E11</f>
        <v>#DIV/0!</v>
      </c>
    </row>
    <row r="12" spans="1:7" s="678" customFormat="1" ht="21.75" customHeight="1">
      <c r="A12" s="739"/>
      <c r="B12" s="1698"/>
      <c r="C12" s="1699" t="s">
        <v>197</v>
      </c>
      <c r="D12" s="1700">
        <f aca="true" t="shared" si="1" ref="D12:F13">D13</f>
        <v>650000</v>
      </c>
      <c r="E12" s="1700">
        <f t="shared" si="1"/>
        <v>680000</v>
      </c>
      <c r="F12" s="1700">
        <f t="shared" si="1"/>
        <v>680586</v>
      </c>
      <c r="G12" s="1701">
        <f t="shared" si="0"/>
        <v>1.0008617647058824</v>
      </c>
    </row>
    <row r="13" spans="1:7" s="678" customFormat="1" ht="24" customHeight="1">
      <c r="A13" s="1573">
        <v>710</v>
      </c>
      <c r="B13" s="1702"/>
      <c r="C13" s="833" t="s">
        <v>332</v>
      </c>
      <c r="D13" s="731">
        <f t="shared" si="1"/>
        <v>650000</v>
      </c>
      <c r="E13" s="731">
        <f t="shared" si="1"/>
        <v>680000</v>
      </c>
      <c r="F13" s="731">
        <f t="shared" si="1"/>
        <v>680586</v>
      </c>
      <c r="G13" s="732">
        <f t="shared" si="0"/>
        <v>1.0008617647058824</v>
      </c>
    </row>
    <row r="14" spans="1:7" s="678" customFormat="1" ht="21" customHeight="1">
      <c r="A14" s="749"/>
      <c r="B14" s="1051">
        <v>71030</v>
      </c>
      <c r="C14" s="893" t="s">
        <v>213</v>
      </c>
      <c r="D14" s="712">
        <f>D15+D17</f>
        <v>650000</v>
      </c>
      <c r="E14" s="712">
        <f>E15+E17</f>
        <v>680000</v>
      </c>
      <c r="F14" s="712">
        <f>F15+F17+F19</f>
        <v>680586</v>
      </c>
      <c r="G14" s="713">
        <f t="shared" si="0"/>
        <v>1.0008617647058824</v>
      </c>
    </row>
    <row r="15" spans="1:7" s="678" customFormat="1" ht="19.5" customHeight="1">
      <c r="A15" s="749"/>
      <c r="B15" s="1703"/>
      <c r="C15" s="1704" t="s">
        <v>214</v>
      </c>
      <c r="D15" s="726">
        <f>D16</f>
        <v>600000</v>
      </c>
      <c r="E15" s="726">
        <f>E16</f>
        <v>630000</v>
      </c>
      <c r="F15" s="726">
        <f>F16</f>
        <v>642197</v>
      </c>
      <c r="G15" s="1705">
        <f t="shared" si="0"/>
        <v>1.0193603174603174</v>
      </c>
    </row>
    <row r="16" spans="1:7" s="1084" customFormat="1" ht="19.5" customHeight="1">
      <c r="A16" s="1706"/>
      <c r="B16" s="1707" t="s">
        <v>215</v>
      </c>
      <c r="C16" s="1708" t="s">
        <v>216</v>
      </c>
      <c r="D16" s="752">
        <v>600000</v>
      </c>
      <c r="E16" s="752">
        <v>630000</v>
      </c>
      <c r="F16" s="1580">
        <v>642197</v>
      </c>
      <c r="G16" s="762">
        <f t="shared" si="0"/>
        <v>1.0193603174603174</v>
      </c>
    </row>
    <row r="17" spans="1:7" s="678" customFormat="1" ht="19.5" customHeight="1">
      <c r="A17" s="1130"/>
      <c r="B17" s="1703"/>
      <c r="C17" s="1709" t="s">
        <v>217</v>
      </c>
      <c r="D17" s="727">
        <f>D18</f>
        <v>50000</v>
      </c>
      <c r="E17" s="727">
        <f>E18</f>
        <v>50000</v>
      </c>
      <c r="F17" s="727">
        <f>F18</f>
        <v>29389</v>
      </c>
      <c r="G17" s="1710">
        <f t="shared" si="0"/>
        <v>0.58778</v>
      </c>
    </row>
    <row r="18" spans="1:7" s="1084" customFormat="1" ht="19.5" customHeight="1">
      <c r="A18" s="1706"/>
      <c r="B18" s="1707" t="s">
        <v>153</v>
      </c>
      <c r="C18" s="1708" t="s">
        <v>154</v>
      </c>
      <c r="D18" s="752">
        <v>50000</v>
      </c>
      <c r="E18" s="752">
        <v>50000</v>
      </c>
      <c r="F18" s="1580">
        <v>29389</v>
      </c>
      <c r="G18" s="762">
        <f t="shared" si="0"/>
        <v>0.58778</v>
      </c>
    </row>
    <row r="19" spans="1:7" s="678" customFormat="1" ht="29.25" customHeight="1">
      <c r="A19" s="1130"/>
      <c r="B19" s="1703"/>
      <c r="C19" s="1704" t="s">
        <v>218</v>
      </c>
      <c r="D19" s="726"/>
      <c r="E19" s="726"/>
      <c r="F19" s="1586">
        <f>F20</f>
        <v>9000</v>
      </c>
      <c r="G19" s="737"/>
    </row>
    <row r="20" spans="1:7" s="1084" customFormat="1" ht="19.5" customHeight="1">
      <c r="A20" s="1706"/>
      <c r="B20" s="1707">
        <v>296</v>
      </c>
      <c r="C20" s="1708" t="s">
        <v>150</v>
      </c>
      <c r="D20" s="752"/>
      <c r="E20" s="752"/>
      <c r="F20" s="1580">
        <v>9000</v>
      </c>
      <c r="G20" s="762"/>
    </row>
    <row r="21" spans="1:7" s="678" customFormat="1" ht="18.75" customHeight="1">
      <c r="A21" s="1130"/>
      <c r="B21" s="1711"/>
      <c r="C21" s="742" t="s">
        <v>155</v>
      </c>
      <c r="D21" s="742">
        <f>D10+D12</f>
        <v>1175196</v>
      </c>
      <c r="E21" s="742">
        <f>E10+E12</f>
        <v>1764598</v>
      </c>
      <c r="F21" s="742">
        <f>F10+F12</f>
        <v>1765184</v>
      </c>
      <c r="G21" s="743"/>
    </row>
    <row r="22" spans="1:7" s="1715" customFormat="1" ht="21" customHeight="1">
      <c r="A22" s="1712"/>
      <c r="B22" s="1713"/>
      <c r="C22" s="1667" t="s">
        <v>199</v>
      </c>
      <c r="D22" s="1667">
        <f aca="true" t="shared" si="2" ref="D22:F23">D23</f>
        <v>799000</v>
      </c>
      <c r="E22" s="1667">
        <f t="shared" si="2"/>
        <v>656000</v>
      </c>
      <c r="F22" s="1667">
        <f t="shared" si="2"/>
        <v>386970</v>
      </c>
      <c r="G22" s="1714">
        <f aca="true" t="shared" si="3" ref="G22:G34">F22/E22</f>
        <v>0.5898932926829268</v>
      </c>
    </row>
    <row r="23" spans="1:7" s="1715" customFormat="1" ht="21" customHeight="1">
      <c r="A23" s="1573">
        <v>710</v>
      </c>
      <c r="B23" s="1716"/>
      <c r="C23" s="833" t="s">
        <v>332</v>
      </c>
      <c r="D23" s="1717">
        <f t="shared" si="2"/>
        <v>799000</v>
      </c>
      <c r="E23" s="1717">
        <f t="shared" si="2"/>
        <v>656000</v>
      </c>
      <c r="F23" s="1717">
        <f t="shared" si="2"/>
        <v>386970</v>
      </c>
      <c r="G23" s="1718">
        <f t="shared" si="3"/>
        <v>0.5898932926829268</v>
      </c>
    </row>
    <row r="24" spans="1:7" s="1715" customFormat="1" ht="21" customHeight="1">
      <c r="A24" s="1719"/>
      <c r="B24" s="1720">
        <v>71030</v>
      </c>
      <c r="C24" s="893" t="s">
        <v>213</v>
      </c>
      <c r="D24" s="1721">
        <f>D25+D29+D31+D33+D35</f>
        <v>799000</v>
      </c>
      <c r="E24" s="1721">
        <f>E25+E29+E31+E33+E35</f>
        <v>656000</v>
      </c>
      <c r="F24" s="1721">
        <f>F25+F29+F31+F33+F35</f>
        <v>386970</v>
      </c>
      <c r="G24" s="1722">
        <f t="shared" si="3"/>
        <v>0.5898932926829268</v>
      </c>
    </row>
    <row r="25" spans="1:7" s="678" customFormat="1" ht="18.75" customHeight="1">
      <c r="A25" s="749"/>
      <c r="B25" s="1703"/>
      <c r="C25" s="1704" t="s">
        <v>219</v>
      </c>
      <c r="D25" s="726">
        <f>D26+D27+D28</f>
        <v>504000</v>
      </c>
      <c r="E25" s="726">
        <f>E26+E27+E28</f>
        <v>460000</v>
      </c>
      <c r="F25" s="726">
        <f>F26+F27+F28</f>
        <v>249156</v>
      </c>
      <c r="G25" s="1705">
        <f t="shared" si="3"/>
        <v>0.5416434782608696</v>
      </c>
    </row>
    <row r="26" spans="1:7" s="1084" customFormat="1" ht="19.5" customHeight="1">
      <c r="A26" s="1706"/>
      <c r="B26" s="1707">
        <v>4210</v>
      </c>
      <c r="C26" s="1708" t="s">
        <v>158</v>
      </c>
      <c r="D26" s="752">
        <v>30000</v>
      </c>
      <c r="E26" s="752">
        <v>30000</v>
      </c>
      <c r="F26" s="1580">
        <v>15036</v>
      </c>
      <c r="G26" s="1723">
        <f t="shared" si="3"/>
        <v>0.5012</v>
      </c>
    </row>
    <row r="27" spans="1:8" s="1729" customFormat="1" ht="19.5" customHeight="1">
      <c r="A27" s="749"/>
      <c r="B27" s="1724">
        <v>4270</v>
      </c>
      <c r="C27" s="1725" t="s">
        <v>220</v>
      </c>
      <c r="D27" s="1726">
        <v>30000</v>
      </c>
      <c r="E27" s="1726">
        <v>30000</v>
      </c>
      <c r="F27" s="1727">
        <v>3040</v>
      </c>
      <c r="G27" s="1728">
        <f t="shared" si="3"/>
        <v>0.10133333333333333</v>
      </c>
      <c r="H27" s="1130"/>
    </row>
    <row r="28" spans="1:7" s="678" customFormat="1" ht="19.5" customHeight="1">
      <c r="A28" s="739"/>
      <c r="B28" s="1730">
        <v>4300</v>
      </c>
      <c r="C28" s="1708" t="s">
        <v>159</v>
      </c>
      <c r="D28" s="752">
        <v>444000</v>
      </c>
      <c r="E28" s="752">
        <v>400000</v>
      </c>
      <c r="F28" s="1580">
        <v>231080</v>
      </c>
      <c r="G28" s="753">
        <f t="shared" si="3"/>
        <v>0.5777</v>
      </c>
    </row>
    <row r="29" spans="1:7" s="678" customFormat="1" ht="27.75" customHeight="1">
      <c r="A29" s="749"/>
      <c r="B29" s="1703"/>
      <c r="C29" s="1709" t="s">
        <v>221</v>
      </c>
      <c r="D29" s="727">
        <f>D30</f>
        <v>65000</v>
      </c>
      <c r="E29" s="727">
        <f>E30</f>
        <v>68000</v>
      </c>
      <c r="F29" s="727">
        <f>F30</f>
        <v>67159</v>
      </c>
      <c r="G29" s="1604">
        <f t="shared" si="3"/>
        <v>0.9876323529411765</v>
      </c>
    </row>
    <row r="30" spans="1:7" s="1084" customFormat="1" ht="19.5" customHeight="1">
      <c r="A30" s="1706"/>
      <c r="B30" s="1707">
        <v>2960</v>
      </c>
      <c r="C30" s="1708" t="s">
        <v>150</v>
      </c>
      <c r="D30" s="752">
        <v>65000</v>
      </c>
      <c r="E30" s="752">
        <v>68000</v>
      </c>
      <c r="F30" s="1580">
        <v>67159</v>
      </c>
      <c r="G30" s="1723">
        <f t="shared" si="3"/>
        <v>0.9876323529411765</v>
      </c>
    </row>
    <row r="31" spans="1:7" s="678" customFormat="1" ht="27.75" customHeight="1">
      <c r="A31" s="749"/>
      <c r="B31" s="1703"/>
      <c r="C31" s="1704" t="s">
        <v>222</v>
      </c>
      <c r="D31" s="726">
        <f>D32</f>
        <v>65000</v>
      </c>
      <c r="E31" s="726">
        <f>E32</f>
        <v>68000</v>
      </c>
      <c r="F31" s="726">
        <f>F32</f>
        <v>67158</v>
      </c>
      <c r="G31" s="1705">
        <f t="shared" si="3"/>
        <v>0.9876176470588235</v>
      </c>
    </row>
    <row r="32" spans="1:7" s="1084" customFormat="1" ht="19.5" customHeight="1">
      <c r="A32" s="1706"/>
      <c r="B32" s="1707">
        <v>2960</v>
      </c>
      <c r="C32" s="1708" t="s">
        <v>150</v>
      </c>
      <c r="D32" s="752">
        <v>65000</v>
      </c>
      <c r="E32" s="752">
        <v>68000</v>
      </c>
      <c r="F32" s="1580">
        <v>67158</v>
      </c>
      <c r="G32" s="1723">
        <f t="shared" si="3"/>
        <v>0.9876176470588235</v>
      </c>
    </row>
    <row r="33" spans="1:7" s="678" customFormat="1" ht="18.75" customHeight="1">
      <c r="A33" s="749"/>
      <c r="B33" s="1703"/>
      <c r="C33" s="1704" t="s">
        <v>223</v>
      </c>
      <c r="D33" s="726">
        <f>D34</f>
        <v>15000</v>
      </c>
      <c r="E33" s="726">
        <f>E34</f>
        <v>10000</v>
      </c>
      <c r="F33" s="726">
        <f>F34</f>
        <v>3497</v>
      </c>
      <c r="G33" s="1705">
        <f t="shared" si="3"/>
        <v>0.3497</v>
      </c>
    </row>
    <row r="34" spans="1:7" s="1084" customFormat="1" ht="19.5" customHeight="1">
      <c r="A34" s="1706"/>
      <c r="B34" s="1707">
        <v>4300</v>
      </c>
      <c r="C34" s="1708" t="s">
        <v>159</v>
      </c>
      <c r="D34" s="752">
        <v>15000</v>
      </c>
      <c r="E34" s="752">
        <v>10000</v>
      </c>
      <c r="F34" s="1580">
        <v>3497</v>
      </c>
      <c r="G34" s="1723">
        <f t="shared" si="3"/>
        <v>0.3497</v>
      </c>
    </row>
    <row r="35" spans="1:7" s="678" customFormat="1" ht="18.75" customHeight="1">
      <c r="A35" s="749"/>
      <c r="B35" s="1703"/>
      <c r="C35" s="1704" t="s">
        <v>224</v>
      </c>
      <c r="D35" s="726">
        <f>D36</f>
        <v>150000</v>
      </c>
      <c r="E35" s="726">
        <f>E36</f>
        <v>50000</v>
      </c>
      <c r="F35" s="726"/>
      <c r="G35" s="1705"/>
    </row>
    <row r="36" spans="1:7" s="1084" customFormat="1" ht="19.5" customHeight="1">
      <c r="A36" s="1706"/>
      <c r="B36" s="1707">
        <v>6120</v>
      </c>
      <c r="C36" s="1708" t="s">
        <v>225</v>
      </c>
      <c r="D36" s="752">
        <v>150000</v>
      </c>
      <c r="E36" s="752">
        <v>50000</v>
      </c>
      <c r="F36" s="1580"/>
      <c r="G36" s="1723"/>
    </row>
    <row r="37" spans="1:7" s="11" customFormat="1" ht="20.25" customHeight="1">
      <c r="A37" s="1631"/>
      <c r="B37" s="1731"/>
      <c r="C37" s="1675" t="s">
        <v>191</v>
      </c>
      <c r="D37" s="1623">
        <f>D10+D12-D22</f>
        <v>376196</v>
      </c>
      <c r="E37" s="1623">
        <f>E10+E12-E22</f>
        <v>1108598</v>
      </c>
      <c r="F37" s="1623">
        <f>F10+F12-F22</f>
        <v>1378214</v>
      </c>
      <c r="G37" s="1624"/>
    </row>
    <row r="38" spans="1:7" s="11" customFormat="1" ht="15" customHeight="1" hidden="1">
      <c r="A38" s="1631"/>
      <c r="B38" s="1731"/>
      <c r="C38" s="1732" t="s">
        <v>141</v>
      </c>
      <c r="D38" s="1619" t="e">
        <f>D11+D12-D22</f>
        <v>#REF!</v>
      </c>
      <c r="E38" s="1733"/>
      <c r="F38" s="1733"/>
      <c r="G38" s="1734"/>
    </row>
    <row r="39" spans="1:7" s="678" customFormat="1" ht="19.5" customHeight="1">
      <c r="A39" s="739"/>
      <c r="B39" s="1110"/>
      <c r="C39" s="712" t="s">
        <v>155</v>
      </c>
      <c r="D39" s="712">
        <f>D22+D37</f>
        <v>1175196</v>
      </c>
      <c r="E39" s="712">
        <f>E22+E37</f>
        <v>1764598</v>
      </c>
      <c r="F39" s="712">
        <f>F22+F37</f>
        <v>1765184</v>
      </c>
      <c r="G39" s="713"/>
    </row>
    <row r="40" ht="19.5" customHeight="1"/>
    <row r="41" ht="19.5" customHeight="1">
      <c r="F41" s="1980" t="s">
        <v>449</v>
      </c>
    </row>
    <row r="42" ht="12.75">
      <c r="F42" s="1980" t="s">
        <v>450</v>
      </c>
    </row>
    <row r="43" ht="12.75">
      <c r="F43" s="1980" t="s">
        <v>451</v>
      </c>
    </row>
  </sheetData>
  <mergeCells count="7">
    <mergeCell ref="C7:C8"/>
    <mergeCell ref="B7:B8"/>
    <mergeCell ref="A7:A8"/>
    <mergeCell ref="G7:G8"/>
    <mergeCell ref="D7:D8"/>
    <mergeCell ref="E7:E8"/>
    <mergeCell ref="F7:F8"/>
  </mergeCells>
  <printOptions horizontalCentered="1"/>
  <pageMargins left="0.5905511811023623" right="0.5905511811023623" top="0.6692913385826772" bottom="0.6692913385826772" header="0.5118110236220472" footer="0.4724409448818898"/>
  <pageSetup firstPageNumber="71" useFirstPageNumber="1" horizontalDpi="300" verticalDpi="300" orientation="landscape" paperSize="9" scale="90" r:id="rId1"/>
  <headerFooter alignWithMargins="0">
    <oddHeader>&amp;C
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1"/>
  <sheetViews>
    <sheetView zoomScale="75" zoomScaleNormal="75" zoomScaleSheetLayoutView="70" workbookViewId="0" topLeftCell="A1">
      <selection activeCell="K224" sqref="K224"/>
    </sheetView>
  </sheetViews>
  <sheetFormatPr defaultColWidth="9.00390625" defaultRowHeight="12.75"/>
  <cols>
    <col min="1" max="1" width="6.125" style="694" customWidth="1"/>
    <col min="2" max="2" width="8.00390625" style="694" customWidth="1"/>
    <col min="3" max="3" width="59.875" style="694" customWidth="1"/>
    <col min="4" max="6" width="17.25390625" style="694" customWidth="1"/>
    <col min="7" max="7" width="11.125" style="694" customWidth="1"/>
    <col min="8" max="8" width="17.25390625" style="694" customWidth="1"/>
    <col min="9" max="9" width="16.25390625" style="694" customWidth="1"/>
    <col min="10" max="10" width="15.625" style="694" customWidth="1"/>
    <col min="11" max="11" width="9.875" style="694" customWidth="1"/>
    <col min="12" max="13" width="12.75390625" style="0" bestFit="1" customWidth="1"/>
  </cols>
  <sheetData>
    <row r="1" spans="3:11" ht="18" customHeight="1">
      <c r="C1" s="328"/>
      <c r="D1" s="891"/>
      <c r="E1" s="891"/>
      <c r="I1" s="1976" t="s">
        <v>979</v>
      </c>
      <c r="J1" s="1977"/>
      <c r="K1" s="1977"/>
    </row>
    <row r="2" spans="1:11" ht="19.5" customHeight="1">
      <c r="A2" s="1238" t="s">
        <v>226</v>
      </c>
      <c r="B2" s="1735"/>
      <c r="C2" s="1735"/>
      <c r="D2" s="1736"/>
      <c r="E2" s="869"/>
      <c r="I2" s="1978"/>
      <c r="J2" s="1977"/>
      <c r="K2" s="1977"/>
    </row>
    <row r="3" spans="1:11" ht="19.5" customHeight="1">
      <c r="A3" s="1238" t="s">
        <v>227</v>
      </c>
      <c r="B3" s="873"/>
      <c r="C3" s="873"/>
      <c r="D3" s="869"/>
      <c r="E3" s="869"/>
      <c r="I3" s="1978"/>
      <c r="J3" s="1977"/>
      <c r="K3" s="1977"/>
    </row>
    <row r="4" spans="1:11" ht="19.5" customHeight="1">
      <c r="A4" s="1238" t="s">
        <v>228</v>
      </c>
      <c r="B4" s="873"/>
      <c r="C4" s="873"/>
      <c r="D4" s="869"/>
      <c r="E4" s="869"/>
      <c r="I4" s="1978"/>
      <c r="J4" s="1977"/>
      <c r="K4" s="1977"/>
    </row>
    <row r="5" spans="4:11" ht="21.75" customHeight="1" thickBot="1">
      <c r="D5" s="1737"/>
      <c r="E5" s="1737"/>
      <c r="F5" s="1737"/>
      <c r="G5" s="1425"/>
      <c r="H5" s="1737"/>
      <c r="I5" s="1737"/>
      <c r="J5" s="1737"/>
      <c r="K5" s="1425" t="s">
        <v>297</v>
      </c>
    </row>
    <row r="6" spans="1:11" ht="15" customHeight="1" thickTop="1">
      <c r="A6" s="1738"/>
      <c r="B6" s="1738"/>
      <c r="C6" s="907" t="s">
        <v>298</v>
      </c>
      <c r="D6" s="1951" t="s">
        <v>229</v>
      </c>
      <c r="E6" s="1951" t="s">
        <v>230</v>
      </c>
      <c r="F6" s="1951" t="s">
        <v>138</v>
      </c>
      <c r="G6" s="1951" t="s">
        <v>231</v>
      </c>
      <c r="H6" s="1951" t="s">
        <v>232</v>
      </c>
      <c r="I6" s="1951" t="s">
        <v>233</v>
      </c>
      <c r="J6" s="1951" t="s">
        <v>138</v>
      </c>
      <c r="K6" s="1951" t="s">
        <v>234</v>
      </c>
    </row>
    <row r="7" spans="1:11" ht="43.5" customHeight="1" thickBot="1">
      <c r="A7" s="1739" t="s">
        <v>303</v>
      </c>
      <c r="B7" s="1740" t="s">
        <v>194</v>
      </c>
      <c r="C7" s="929" t="s">
        <v>235</v>
      </c>
      <c r="D7" s="1979"/>
      <c r="E7" s="1979"/>
      <c r="F7" s="1979"/>
      <c r="G7" s="1979"/>
      <c r="H7" s="1979"/>
      <c r="I7" s="1979"/>
      <c r="J7" s="1979" t="s">
        <v>236</v>
      </c>
      <c r="K7" s="1979"/>
    </row>
    <row r="8" spans="1:13" ht="14.25" customHeight="1" thickBot="1" thickTop="1">
      <c r="A8" s="686">
        <v>1</v>
      </c>
      <c r="B8" s="686">
        <v>2</v>
      </c>
      <c r="C8" s="686">
        <v>3</v>
      </c>
      <c r="D8" s="686">
        <v>4</v>
      </c>
      <c r="E8" s="686">
        <v>5</v>
      </c>
      <c r="F8" s="686">
        <v>6</v>
      </c>
      <c r="G8" s="686">
        <v>7</v>
      </c>
      <c r="H8" s="686">
        <v>8</v>
      </c>
      <c r="I8" s="686">
        <v>9</v>
      </c>
      <c r="J8" s="686">
        <v>10</v>
      </c>
      <c r="K8" s="686">
        <v>11</v>
      </c>
      <c r="L8" s="901"/>
      <c r="M8" s="901"/>
    </row>
    <row r="9" spans="1:11" ht="21" customHeight="1" thickBot="1" thickTop="1">
      <c r="A9" s="1741"/>
      <c r="B9" s="1741"/>
      <c r="C9" s="1742" t="s">
        <v>237</v>
      </c>
      <c r="D9" s="692">
        <f>D11+D114</f>
        <v>62499979</v>
      </c>
      <c r="E9" s="692">
        <f>E11+E114</f>
        <v>61990607</v>
      </c>
      <c r="F9" s="692">
        <f>F11+F114</f>
        <v>62306953</v>
      </c>
      <c r="G9" s="1743">
        <f>F9/E9</f>
        <v>1.005103127962596</v>
      </c>
      <c r="H9" s="1744">
        <f>H11+H114</f>
        <v>53973979</v>
      </c>
      <c r="I9" s="692">
        <f>I11+I114</f>
        <v>53187845</v>
      </c>
      <c r="J9" s="692">
        <f>J11+J114</f>
        <v>52469054</v>
      </c>
      <c r="K9" s="1745">
        <f>J9/I9</f>
        <v>0.9864858032883265</v>
      </c>
    </row>
    <row r="10" spans="1:11" ht="11.25" customHeight="1">
      <c r="A10" s="1139"/>
      <c r="B10" s="1139"/>
      <c r="C10" s="6" t="s">
        <v>308</v>
      </c>
      <c r="D10" s="550"/>
      <c r="E10" s="550"/>
      <c r="F10" s="550"/>
      <c r="G10" s="1746"/>
      <c r="H10" s="1747"/>
      <c r="I10" s="550"/>
      <c r="J10" s="550"/>
      <c r="K10" s="1748"/>
    </row>
    <row r="11" spans="1:13" ht="18" customHeight="1" thickBot="1">
      <c r="A11" s="1474"/>
      <c r="B11" s="1474"/>
      <c r="C11" s="1749" t="s">
        <v>1009</v>
      </c>
      <c r="D11" s="1750">
        <f>D16+D38+D48+D106+D29</f>
        <v>33968195</v>
      </c>
      <c r="E11" s="1750">
        <f>E16+E38+E48+E106+E29+E43+E12</f>
        <v>33118594</v>
      </c>
      <c r="F11" s="1750">
        <f>F16+F38+F48+F106+F29+F43+F12</f>
        <v>34090418</v>
      </c>
      <c r="G11" s="1751">
        <f aca="true" t="shared" si="0" ref="G11:G25">F11/E11</f>
        <v>1.029343757769427</v>
      </c>
      <c r="H11" s="1752">
        <f>H16+H38+H48+H106+H29</f>
        <v>33306195</v>
      </c>
      <c r="I11" s="1750">
        <f>I16+I38+I48+I106+I29+I47</f>
        <v>32124832</v>
      </c>
      <c r="J11" s="1750">
        <f>J16+J38+J48+J106+J29+J47</f>
        <v>31748771</v>
      </c>
      <c r="K11" s="1753">
        <f>J11/I11</f>
        <v>0.9882937597930473</v>
      </c>
      <c r="L11" s="901"/>
      <c r="M11" s="901"/>
    </row>
    <row r="12" spans="1:13" ht="19.5" customHeight="1" thickTop="1">
      <c r="A12" s="137">
        <v>700</v>
      </c>
      <c r="B12" s="153"/>
      <c r="C12" s="59" t="s">
        <v>316</v>
      </c>
      <c r="D12" s="228"/>
      <c r="E12" s="228">
        <f aca="true" t="shared" si="1" ref="E12:F14">E13</f>
        <v>331762</v>
      </c>
      <c r="F12" s="228">
        <f t="shared" si="1"/>
        <v>331762</v>
      </c>
      <c r="G12" s="1754">
        <f t="shared" si="0"/>
        <v>1</v>
      </c>
      <c r="H12" s="227"/>
      <c r="I12" s="228"/>
      <c r="J12" s="228"/>
      <c r="K12" s="303"/>
      <c r="L12" s="901"/>
      <c r="M12" s="901"/>
    </row>
    <row r="13" spans="1:11" ht="19.5" customHeight="1">
      <c r="A13" s="38"/>
      <c r="B13" s="178">
        <v>70005</v>
      </c>
      <c r="C13" s="90" t="s">
        <v>319</v>
      </c>
      <c r="D13" s="232"/>
      <c r="E13" s="232">
        <f t="shared" si="1"/>
        <v>331762</v>
      </c>
      <c r="F13" s="232">
        <f t="shared" si="1"/>
        <v>331762</v>
      </c>
      <c r="G13" s="1755">
        <f t="shared" si="0"/>
        <v>1</v>
      </c>
      <c r="H13" s="231"/>
      <c r="I13" s="232"/>
      <c r="J13" s="232"/>
      <c r="K13" s="233"/>
    </row>
    <row r="14" spans="1:11" ht="37.5" customHeight="1">
      <c r="A14" s="1756"/>
      <c r="B14" s="1757"/>
      <c r="C14" s="93" t="s">
        <v>458</v>
      </c>
      <c r="D14" s="193"/>
      <c r="E14" s="193">
        <f t="shared" si="1"/>
        <v>331762</v>
      </c>
      <c r="F14" s="193">
        <f t="shared" si="1"/>
        <v>331762</v>
      </c>
      <c r="G14" s="1758">
        <f t="shared" si="0"/>
        <v>1</v>
      </c>
      <c r="H14" s="94"/>
      <c r="I14" s="193"/>
      <c r="J14" s="193"/>
      <c r="K14" s="194"/>
    </row>
    <row r="15" spans="1:11" s="719" customFormat="1" ht="38.25" customHeight="1">
      <c r="A15" s="1756"/>
      <c r="B15" s="1759">
        <v>201</v>
      </c>
      <c r="C15" s="1760" t="s">
        <v>238</v>
      </c>
      <c r="D15" s="1761"/>
      <c r="E15" s="1761">
        <v>331762</v>
      </c>
      <c r="F15" s="1761">
        <v>331762</v>
      </c>
      <c r="G15" s="1762">
        <f t="shared" si="0"/>
        <v>1</v>
      </c>
      <c r="H15" s="1763"/>
      <c r="I15" s="1761"/>
      <c r="J15" s="1761"/>
      <c r="K15" s="1764"/>
    </row>
    <row r="16" spans="1:13" ht="19.5" customHeight="1">
      <c r="A16" s="137">
        <v>750</v>
      </c>
      <c r="B16" s="153"/>
      <c r="C16" s="59" t="s">
        <v>336</v>
      </c>
      <c r="D16" s="228">
        <f>D17</f>
        <v>2049165</v>
      </c>
      <c r="E16" s="228">
        <f>E17</f>
        <v>2098165</v>
      </c>
      <c r="F16" s="228">
        <f>F17</f>
        <v>3002541</v>
      </c>
      <c r="G16" s="1754">
        <f t="shared" si="0"/>
        <v>1.4310318778551734</v>
      </c>
      <c r="H16" s="227">
        <f>H17</f>
        <v>1463165</v>
      </c>
      <c r="I16" s="228">
        <f>I17</f>
        <v>1512165</v>
      </c>
      <c r="J16" s="228">
        <f>J17</f>
        <v>1512165</v>
      </c>
      <c r="K16" s="303">
        <f>J16/I16</f>
        <v>1</v>
      </c>
      <c r="L16" s="901"/>
      <c r="M16" s="901"/>
    </row>
    <row r="17" spans="1:11" ht="19.5" customHeight="1">
      <c r="A17" s="38"/>
      <c r="B17" s="178">
        <v>75011</v>
      </c>
      <c r="C17" s="90" t="s">
        <v>459</v>
      </c>
      <c r="D17" s="232">
        <f>D18+D24</f>
        <v>2049165</v>
      </c>
      <c r="E17" s="232">
        <f>E18+E24+E20+E22</f>
        <v>2098165</v>
      </c>
      <c r="F17" s="232">
        <f>F18+F24+F20+F22</f>
        <v>3002541</v>
      </c>
      <c r="G17" s="1755">
        <f t="shared" si="0"/>
        <v>1.4310318778551734</v>
      </c>
      <c r="H17" s="231">
        <f>H26+H27+H28</f>
        <v>1463165</v>
      </c>
      <c r="I17" s="232">
        <f>I26+I27+I28</f>
        <v>1512165</v>
      </c>
      <c r="J17" s="232">
        <f>J26+J27+J28</f>
        <v>1512165</v>
      </c>
      <c r="K17" s="233">
        <f>J17/I17</f>
        <v>1</v>
      </c>
    </row>
    <row r="18" spans="1:11" ht="27" customHeight="1">
      <c r="A18" s="1756"/>
      <c r="B18" s="1757"/>
      <c r="C18" s="93" t="s">
        <v>239</v>
      </c>
      <c r="D18" s="193">
        <f>D19</f>
        <v>1463165</v>
      </c>
      <c r="E18" s="193">
        <f>E19</f>
        <v>1463165</v>
      </c>
      <c r="F18" s="193">
        <f>F19</f>
        <v>1463165</v>
      </c>
      <c r="G18" s="1758">
        <f t="shared" si="0"/>
        <v>1</v>
      </c>
      <c r="H18" s="94"/>
      <c r="I18" s="193"/>
      <c r="J18" s="193"/>
      <c r="K18" s="194"/>
    </row>
    <row r="19" spans="1:11" s="719" customFormat="1" ht="38.25" customHeight="1">
      <c r="A19" s="1756"/>
      <c r="B19" s="1759">
        <v>201</v>
      </c>
      <c r="C19" s="1760" t="s">
        <v>238</v>
      </c>
      <c r="D19" s="1761">
        <v>1463165</v>
      </c>
      <c r="E19" s="1761">
        <v>1463165</v>
      </c>
      <c r="F19" s="1761">
        <v>1463165</v>
      </c>
      <c r="G19" s="1762">
        <f t="shared" si="0"/>
        <v>1</v>
      </c>
      <c r="H19" s="1763"/>
      <c r="I19" s="1761"/>
      <c r="J19" s="1761"/>
      <c r="K19" s="1764"/>
    </row>
    <row r="20" spans="1:11" ht="27" customHeight="1">
      <c r="A20" s="1756"/>
      <c r="B20" s="1757"/>
      <c r="C20" s="93" t="s">
        <v>461</v>
      </c>
      <c r="D20" s="193"/>
      <c r="E20" s="193">
        <f>E21</f>
        <v>24000</v>
      </c>
      <c r="F20" s="193">
        <f>F21</f>
        <v>24000</v>
      </c>
      <c r="G20" s="1758">
        <f t="shared" si="0"/>
        <v>1</v>
      </c>
      <c r="H20" s="94"/>
      <c r="I20" s="193"/>
      <c r="J20" s="193"/>
      <c r="K20" s="194"/>
    </row>
    <row r="21" spans="1:11" s="719" customFormat="1" ht="38.25" customHeight="1">
      <c r="A21" s="1756"/>
      <c r="B21" s="1759">
        <v>201</v>
      </c>
      <c r="C21" s="1760" t="s">
        <v>238</v>
      </c>
      <c r="D21" s="1761"/>
      <c r="E21" s="1761">
        <v>24000</v>
      </c>
      <c r="F21" s="1761">
        <v>24000</v>
      </c>
      <c r="G21" s="1762">
        <f t="shared" si="0"/>
        <v>1</v>
      </c>
      <c r="H21" s="1763"/>
      <c r="I21" s="1761"/>
      <c r="J21" s="1761"/>
      <c r="K21" s="1764"/>
    </row>
    <row r="22" spans="1:11" ht="27" customHeight="1">
      <c r="A22" s="1756"/>
      <c r="B22" s="1757"/>
      <c r="C22" s="93" t="s">
        <v>462</v>
      </c>
      <c r="D22" s="193"/>
      <c r="E22" s="193">
        <f>E23</f>
        <v>25000</v>
      </c>
      <c r="F22" s="193">
        <f>F23</f>
        <v>25000</v>
      </c>
      <c r="G22" s="1758">
        <f t="shared" si="0"/>
        <v>1</v>
      </c>
      <c r="H22" s="94"/>
      <c r="I22" s="193"/>
      <c r="J22" s="193"/>
      <c r="K22" s="194"/>
    </row>
    <row r="23" spans="1:11" s="719" customFormat="1" ht="38.25" customHeight="1">
      <c r="A23" s="1756"/>
      <c r="B23" s="1759">
        <v>201</v>
      </c>
      <c r="C23" s="1760" t="s">
        <v>238</v>
      </c>
      <c r="D23" s="1761"/>
      <c r="E23" s="1761">
        <v>25000</v>
      </c>
      <c r="F23" s="1761">
        <v>25000</v>
      </c>
      <c r="G23" s="1762">
        <f t="shared" si="0"/>
        <v>1</v>
      </c>
      <c r="H23" s="1763"/>
      <c r="I23" s="1761"/>
      <c r="J23" s="1761"/>
      <c r="K23" s="1764"/>
    </row>
    <row r="24" spans="1:11" ht="18" customHeight="1">
      <c r="A24" s="1217"/>
      <c r="B24" s="1217"/>
      <c r="C24" s="1434" t="s">
        <v>240</v>
      </c>
      <c r="D24" s="201">
        <f>D25</f>
        <v>586000</v>
      </c>
      <c r="E24" s="201">
        <f>E25</f>
        <v>586000</v>
      </c>
      <c r="F24" s="201">
        <f>F25</f>
        <v>1490376</v>
      </c>
      <c r="G24" s="1765">
        <f t="shared" si="0"/>
        <v>2.5433037542662116</v>
      </c>
      <c r="H24" s="123"/>
      <c r="I24" s="201"/>
      <c r="J24" s="201"/>
      <c r="K24" s="202"/>
    </row>
    <row r="25" spans="1:11" s="719" customFormat="1" ht="25.5">
      <c r="A25" s="1217"/>
      <c r="B25" s="1321">
        <v>235</v>
      </c>
      <c r="C25" s="1170" t="s">
        <v>241</v>
      </c>
      <c r="D25" s="1766">
        <v>586000</v>
      </c>
      <c r="E25" s="1766">
        <v>586000</v>
      </c>
      <c r="F25" s="1766">
        <v>1490376</v>
      </c>
      <c r="G25" s="1767">
        <f t="shared" si="0"/>
        <v>2.5433037542662116</v>
      </c>
      <c r="H25" s="1768"/>
      <c r="I25" s="1766"/>
      <c r="J25" s="1766"/>
      <c r="K25" s="1769"/>
    </row>
    <row r="26" spans="1:11" s="694" customFormat="1" ht="18" customHeight="1">
      <c r="A26" s="1478"/>
      <c r="B26" s="1478"/>
      <c r="C26" s="1478" t="s">
        <v>650</v>
      </c>
      <c r="D26" s="1770"/>
      <c r="E26" s="1770"/>
      <c r="F26" s="1770"/>
      <c r="G26" s="1771"/>
      <c r="H26" s="1772">
        <f>1094080+91000</f>
        <v>1185080</v>
      </c>
      <c r="I26" s="1770">
        <f>1135780+89400</f>
        <v>1225180</v>
      </c>
      <c r="J26" s="1770">
        <f>1135780+89400</f>
        <v>1225180</v>
      </c>
      <c r="K26" s="1773">
        <f>J26/I26</f>
        <v>1</v>
      </c>
    </row>
    <row r="27" spans="1:11" s="694" customFormat="1" ht="18" customHeight="1">
      <c r="A27" s="1478"/>
      <c r="B27" s="1478"/>
      <c r="C27" s="1774" t="s">
        <v>651</v>
      </c>
      <c r="D27" s="1775"/>
      <c r="E27" s="1775"/>
      <c r="F27" s="1775"/>
      <c r="G27" s="1776"/>
      <c r="H27" s="1777">
        <v>37135</v>
      </c>
      <c r="I27" s="1775">
        <f>1000+37135</f>
        <v>38135</v>
      </c>
      <c r="J27" s="1775">
        <f>1000+37135</f>
        <v>38135</v>
      </c>
      <c r="K27" s="1778">
        <f>J27/I27</f>
        <v>1</v>
      </c>
    </row>
    <row r="28" spans="1:11" s="694" customFormat="1" ht="18" customHeight="1">
      <c r="A28" s="1779"/>
      <c r="B28" s="1779"/>
      <c r="C28" s="1779" t="s">
        <v>652</v>
      </c>
      <c r="D28" s="1196"/>
      <c r="E28" s="1196"/>
      <c r="F28" s="1196"/>
      <c r="G28" s="1780"/>
      <c r="H28" s="1781">
        <f>211900+29050</f>
        <v>240950</v>
      </c>
      <c r="I28" s="1196">
        <f>218862+29988</f>
        <v>248850</v>
      </c>
      <c r="J28" s="1196">
        <f>218862+29988</f>
        <v>248850</v>
      </c>
      <c r="K28" s="1194">
        <f>J28/I28</f>
        <v>1</v>
      </c>
    </row>
    <row r="29" spans="1:13" ht="25.5">
      <c r="A29" s="177">
        <v>751</v>
      </c>
      <c r="B29" s="58"/>
      <c r="C29" s="1782" t="s">
        <v>792</v>
      </c>
      <c r="D29" s="228">
        <f>D30+D34</f>
        <v>27830</v>
      </c>
      <c r="E29" s="228">
        <f>E30+E34</f>
        <v>662980</v>
      </c>
      <c r="F29" s="228">
        <f>F30+F34</f>
        <v>662980</v>
      </c>
      <c r="G29" s="1754">
        <f>F29/E29</f>
        <v>1</v>
      </c>
      <c r="H29" s="227">
        <f>H30+H34</f>
        <v>27830</v>
      </c>
      <c r="I29" s="228">
        <f>I30+I34</f>
        <v>662980</v>
      </c>
      <c r="J29" s="228">
        <f>J30+J34</f>
        <v>662980</v>
      </c>
      <c r="K29" s="303">
        <f>J29/I29</f>
        <v>1</v>
      </c>
      <c r="L29" s="901"/>
      <c r="M29" s="901"/>
    </row>
    <row r="30" spans="1:11" ht="25.5">
      <c r="A30" s="248"/>
      <c r="B30" s="178">
        <v>75101</v>
      </c>
      <c r="C30" s="1783" t="s">
        <v>242</v>
      </c>
      <c r="D30" s="232">
        <f aca="true" t="shared" si="2" ref="D30:F31">D31</f>
        <v>27830</v>
      </c>
      <c r="E30" s="232">
        <f t="shared" si="2"/>
        <v>27830</v>
      </c>
      <c r="F30" s="232">
        <f t="shared" si="2"/>
        <v>27830</v>
      </c>
      <c r="G30" s="1755">
        <f>F30/E30</f>
        <v>1</v>
      </c>
      <c r="H30" s="231">
        <f>H33</f>
        <v>27830</v>
      </c>
      <c r="I30" s="231">
        <f>I33</f>
        <v>27830</v>
      </c>
      <c r="J30" s="231">
        <f>J33</f>
        <v>27830</v>
      </c>
      <c r="K30" s="233">
        <f>J30/I30</f>
        <v>1</v>
      </c>
    </row>
    <row r="31" spans="1:11" ht="25.5">
      <c r="A31" s="1756"/>
      <c r="B31" s="406"/>
      <c r="C31" s="1784" t="s">
        <v>243</v>
      </c>
      <c r="D31" s="193">
        <f t="shared" si="2"/>
        <v>27830</v>
      </c>
      <c r="E31" s="193">
        <f t="shared" si="2"/>
        <v>27830</v>
      </c>
      <c r="F31" s="193">
        <f t="shared" si="2"/>
        <v>27830</v>
      </c>
      <c r="G31" s="1758">
        <f>F31/E31</f>
        <v>1</v>
      </c>
      <c r="H31" s="94"/>
      <c r="I31" s="193"/>
      <c r="J31" s="193"/>
      <c r="K31" s="194"/>
    </row>
    <row r="32" spans="1:11" s="719" customFormat="1" ht="37.5" customHeight="1">
      <c r="A32" s="1756"/>
      <c r="B32" s="1785">
        <v>201</v>
      </c>
      <c r="C32" s="1323" t="s">
        <v>238</v>
      </c>
      <c r="D32" s="1761">
        <v>27830</v>
      </c>
      <c r="E32" s="1761">
        <v>27830</v>
      </c>
      <c r="F32" s="1761">
        <v>27830</v>
      </c>
      <c r="G32" s="1765">
        <f>F32/E32</f>
        <v>1</v>
      </c>
      <c r="H32" s="1763"/>
      <c r="I32" s="1761"/>
      <c r="J32" s="1761"/>
      <c r="K32" s="1764"/>
    </row>
    <row r="33" spans="1:11" ht="18" customHeight="1">
      <c r="A33" s="1321"/>
      <c r="B33" s="1321"/>
      <c r="C33" s="353" t="s">
        <v>794</v>
      </c>
      <c r="D33" s="306"/>
      <c r="E33" s="306"/>
      <c r="F33" s="306"/>
      <c r="G33" s="1786"/>
      <c r="H33" s="276">
        <v>27830</v>
      </c>
      <c r="I33" s="306">
        <v>27830</v>
      </c>
      <c r="J33" s="306">
        <v>27830</v>
      </c>
      <c r="K33" s="273">
        <f>J33/I33</f>
        <v>1</v>
      </c>
    </row>
    <row r="34" spans="1:11" s="714" customFormat="1" ht="19.5" customHeight="1">
      <c r="A34" s="1787"/>
      <c r="B34" s="663">
        <v>75110</v>
      </c>
      <c r="C34" s="609" t="s">
        <v>466</v>
      </c>
      <c r="D34" s="190"/>
      <c r="E34" s="190">
        <f>SUM(E35)</f>
        <v>635150</v>
      </c>
      <c r="F34" s="190">
        <f>SUM(F35)</f>
        <v>635150</v>
      </c>
      <c r="G34" s="1788">
        <f>F34/E34</f>
        <v>1</v>
      </c>
      <c r="H34" s="67"/>
      <c r="I34" s="67">
        <f>SUM(I37)</f>
        <v>635150</v>
      </c>
      <c r="J34" s="67">
        <f>SUM(J37)</f>
        <v>635150</v>
      </c>
      <c r="K34" s="270">
        <f>J34/I34</f>
        <v>1</v>
      </c>
    </row>
    <row r="35" spans="1:11" ht="25.5">
      <c r="A35" s="1217"/>
      <c r="B35" s="1789"/>
      <c r="C35" s="657" t="s">
        <v>244</v>
      </c>
      <c r="D35" s="289"/>
      <c r="E35" s="289">
        <f>SUM(E36)</f>
        <v>635150</v>
      </c>
      <c r="F35" s="289">
        <f>SUM(F36)</f>
        <v>635150</v>
      </c>
      <c r="G35" s="1790">
        <f>F35/E35</f>
        <v>1</v>
      </c>
      <c r="H35" s="40"/>
      <c r="I35" s="289"/>
      <c r="J35" s="289"/>
      <c r="K35" s="1791"/>
    </row>
    <row r="36" spans="1:11" ht="38.25">
      <c r="A36" s="1217"/>
      <c r="B36" s="1321">
        <v>201</v>
      </c>
      <c r="C36" s="1170" t="s">
        <v>238</v>
      </c>
      <c r="D36" s="294"/>
      <c r="E36" s="294">
        <v>635150</v>
      </c>
      <c r="F36" s="294">
        <v>635150</v>
      </c>
      <c r="G36" s="1792">
        <f>F36/E36</f>
        <v>1</v>
      </c>
      <c r="H36" s="224"/>
      <c r="I36" s="294"/>
      <c r="J36" s="294"/>
      <c r="K36" s="1769"/>
    </row>
    <row r="37" spans="1:11" ht="18" customHeight="1">
      <c r="A37" s="1321"/>
      <c r="B37" s="1321"/>
      <c r="C37" s="353" t="s">
        <v>245</v>
      </c>
      <c r="D37" s="272"/>
      <c r="E37" s="272"/>
      <c r="F37" s="272"/>
      <c r="G37" s="1786"/>
      <c r="H37" s="184"/>
      <c r="I37" s="272">
        <v>635150</v>
      </c>
      <c r="J37" s="272">
        <v>635150</v>
      </c>
      <c r="K37" s="273">
        <f>J37/I37</f>
        <v>1</v>
      </c>
    </row>
    <row r="38" spans="1:11" ht="19.5" customHeight="1">
      <c r="A38" s="177">
        <v>754</v>
      </c>
      <c r="B38" s="420"/>
      <c r="C38" s="59" t="s">
        <v>344</v>
      </c>
      <c r="D38" s="228">
        <f aca="true" t="shared" si="3" ref="D38:F40">D39</f>
        <v>2200</v>
      </c>
      <c r="E38" s="228">
        <f t="shared" si="3"/>
        <v>2200</v>
      </c>
      <c r="F38" s="228">
        <f t="shared" si="3"/>
        <v>2200</v>
      </c>
      <c r="G38" s="1754">
        <f>F38/E38</f>
        <v>1</v>
      </c>
      <c r="H38" s="227">
        <f>H39</f>
        <v>2200</v>
      </c>
      <c r="I38" s="228">
        <f>I39</f>
        <v>2200</v>
      </c>
      <c r="J38" s="228">
        <f>J39</f>
        <v>2200</v>
      </c>
      <c r="K38" s="303">
        <f>J38/I38</f>
        <v>1</v>
      </c>
    </row>
    <row r="39" spans="1:11" ht="19.5" customHeight="1">
      <c r="A39" s="38"/>
      <c r="B39" s="238">
        <v>75414</v>
      </c>
      <c r="C39" s="79" t="s">
        <v>469</v>
      </c>
      <c r="D39" s="190">
        <f t="shared" si="3"/>
        <v>2200</v>
      </c>
      <c r="E39" s="190">
        <f t="shared" si="3"/>
        <v>2200</v>
      </c>
      <c r="F39" s="190">
        <f t="shared" si="3"/>
        <v>2200</v>
      </c>
      <c r="G39" s="1793">
        <f>F39/E39</f>
        <v>1</v>
      </c>
      <c r="H39" s="67">
        <f>H42</f>
        <v>2200</v>
      </c>
      <c r="I39" s="67">
        <f>I42</f>
        <v>2200</v>
      </c>
      <c r="J39" s="67">
        <f>J42</f>
        <v>2200</v>
      </c>
      <c r="K39" s="270">
        <f>J39/I39</f>
        <v>1</v>
      </c>
    </row>
    <row r="40" spans="1:11" ht="25.5">
      <c r="A40" s="1756"/>
      <c r="B40" s="271"/>
      <c r="C40" s="93" t="s">
        <v>470</v>
      </c>
      <c r="D40" s="193">
        <f t="shared" si="3"/>
        <v>2200</v>
      </c>
      <c r="E40" s="193">
        <f t="shared" si="3"/>
        <v>2200</v>
      </c>
      <c r="F40" s="193">
        <f t="shared" si="3"/>
        <v>2200</v>
      </c>
      <c r="G40" s="1758">
        <f>F40/E40</f>
        <v>1</v>
      </c>
      <c r="H40" s="94"/>
      <c r="I40" s="193"/>
      <c r="J40" s="193"/>
      <c r="K40" s="194"/>
    </row>
    <row r="41" spans="1:11" s="719" customFormat="1" ht="38.25">
      <c r="A41" s="1756"/>
      <c r="B41" s="1759">
        <v>201</v>
      </c>
      <c r="C41" s="1760" t="s">
        <v>238</v>
      </c>
      <c r="D41" s="1761">
        <v>2200</v>
      </c>
      <c r="E41" s="1761">
        <v>2200</v>
      </c>
      <c r="F41" s="1761">
        <v>2200</v>
      </c>
      <c r="G41" s="1762">
        <f>F41/E41</f>
        <v>1</v>
      </c>
      <c r="H41" s="1763"/>
      <c r="I41" s="1761"/>
      <c r="J41" s="1761"/>
      <c r="K41" s="1764"/>
    </row>
    <row r="42" spans="1:11" s="694" customFormat="1" ht="19.5" customHeight="1">
      <c r="A42" s="1169"/>
      <c r="B42" s="1169"/>
      <c r="C42" s="367" t="s">
        <v>796</v>
      </c>
      <c r="D42" s="1190"/>
      <c r="E42" s="1190"/>
      <c r="F42" s="1190"/>
      <c r="G42" s="1794"/>
      <c r="H42" s="1795">
        <v>2200</v>
      </c>
      <c r="I42" s="1190">
        <v>2200</v>
      </c>
      <c r="J42" s="1190">
        <v>2200</v>
      </c>
      <c r="K42" s="1191">
        <f>J42/I42</f>
        <v>1</v>
      </c>
    </row>
    <row r="43" spans="1:11" ht="19.5" customHeight="1">
      <c r="A43" s="177">
        <v>801</v>
      </c>
      <c r="B43" s="58"/>
      <c r="C43" s="59" t="s">
        <v>386</v>
      </c>
      <c r="D43" s="228"/>
      <c r="E43" s="228">
        <f>E44</f>
        <v>52359</v>
      </c>
      <c r="F43" s="228">
        <f>F44</f>
        <v>52359</v>
      </c>
      <c r="G43" s="1754">
        <f>F43/E43</f>
        <v>1</v>
      </c>
      <c r="H43" s="227"/>
      <c r="I43" s="228">
        <f>I47</f>
        <v>52359</v>
      </c>
      <c r="J43" s="228">
        <f>J47</f>
        <v>52359</v>
      </c>
      <c r="K43" s="303">
        <f>J43/I43</f>
        <v>1</v>
      </c>
    </row>
    <row r="44" spans="1:11" s="714" customFormat="1" ht="19.5" customHeight="1">
      <c r="A44" s="662"/>
      <c r="B44" s="663">
        <v>80101</v>
      </c>
      <c r="C44" s="609" t="s">
        <v>387</v>
      </c>
      <c r="D44" s="1150"/>
      <c r="E44" s="1150">
        <f>E45</f>
        <v>52359</v>
      </c>
      <c r="F44" s="1150">
        <f>F45</f>
        <v>52359</v>
      </c>
      <c r="G44" s="1796">
        <f>F44/E44</f>
        <v>1</v>
      </c>
      <c r="H44" s="664"/>
      <c r="I44" s="1150">
        <f>I47</f>
        <v>52359</v>
      </c>
      <c r="J44" s="1150">
        <f>J47</f>
        <v>52359</v>
      </c>
      <c r="K44" s="1151">
        <f>J43/I43</f>
        <v>1</v>
      </c>
    </row>
    <row r="45" spans="1:11" s="694" customFormat="1" ht="25.5">
      <c r="A45" s="1139"/>
      <c r="B45" s="1430"/>
      <c r="C45" s="347" t="s">
        <v>471</v>
      </c>
      <c r="D45" s="1450"/>
      <c r="E45" s="1450">
        <f>SUM(E46)</f>
        <v>52359</v>
      </c>
      <c r="F45" s="1450">
        <f>SUM(F46)</f>
        <v>52359</v>
      </c>
      <c r="G45" s="1797">
        <f>F45/E45</f>
        <v>1</v>
      </c>
      <c r="H45" s="1798"/>
      <c r="I45" s="1450"/>
      <c r="J45" s="1450"/>
      <c r="K45" s="1451"/>
    </row>
    <row r="46" spans="1:11" s="694" customFormat="1" ht="38.25">
      <c r="A46" s="1139"/>
      <c r="B46" s="1321">
        <v>201</v>
      </c>
      <c r="C46" s="1187" t="s">
        <v>238</v>
      </c>
      <c r="D46" s="1190"/>
      <c r="E46" s="1190">
        <v>52359</v>
      </c>
      <c r="F46" s="1190">
        <v>52359</v>
      </c>
      <c r="G46" s="1799">
        <f>F46/E46</f>
        <v>1</v>
      </c>
      <c r="H46" s="1795"/>
      <c r="I46" s="1190"/>
      <c r="J46" s="1190"/>
      <c r="K46" s="1191"/>
    </row>
    <row r="47" spans="1:11" s="694" customFormat="1" ht="18" customHeight="1">
      <c r="A47" s="1139"/>
      <c r="B47" s="1139"/>
      <c r="C47" s="612" t="s">
        <v>797</v>
      </c>
      <c r="D47" s="1459"/>
      <c r="E47" s="1459"/>
      <c r="F47" s="1459"/>
      <c r="G47" s="1797"/>
      <c r="H47" s="1800"/>
      <c r="I47" s="1459">
        <v>52359</v>
      </c>
      <c r="J47" s="1459">
        <v>52359</v>
      </c>
      <c r="K47" s="1460">
        <f>J47/I47</f>
        <v>1</v>
      </c>
    </row>
    <row r="48" spans="1:11" s="1443" customFormat="1" ht="19.5" customHeight="1">
      <c r="A48" s="137">
        <v>853</v>
      </c>
      <c r="B48" s="153"/>
      <c r="C48" s="176" t="s">
        <v>395</v>
      </c>
      <c r="D48" s="579">
        <f>D49+D70++D74+D80+D86+D92+D102</f>
        <v>28795000</v>
      </c>
      <c r="E48" s="579">
        <f>E49+E70++E74+E80+E86+E92+E102+E98</f>
        <v>26812268</v>
      </c>
      <c r="F48" s="579">
        <f>F49+F70++F74+F80+F86+F92+F102+F98</f>
        <v>26879716</v>
      </c>
      <c r="G48" s="1801">
        <f aca="true" t="shared" si="4" ref="G48:G61">F48/E48</f>
        <v>1.0025155648899229</v>
      </c>
      <c r="H48" s="1405">
        <f>H49+H70++H74+H80+H86+H92+H102</f>
        <v>28719000</v>
      </c>
      <c r="I48" s="579">
        <f>I49+I70++I74+I80+I86+I92+I102+I98</f>
        <v>26736268</v>
      </c>
      <c r="J48" s="579">
        <f>J49+J70++J74+J80+J86+J92+J102+J98</f>
        <v>26736268</v>
      </c>
      <c r="K48" s="1222">
        <f>J48/I48</f>
        <v>1</v>
      </c>
    </row>
    <row r="49" spans="1:11" ht="19.5" customHeight="1">
      <c r="A49" s="64"/>
      <c r="B49" s="178">
        <v>85303</v>
      </c>
      <c r="C49" s="79" t="s">
        <v>472</v>
      </c>
      <c r="D49" s="190">
        <f>D50+D52+D54+D56+D60+D58</f>
        <v>681000</v>
      </c>
      <c r="E49" s="190">
        <f>E50+E52+E54+E56+E60+E58</f>
        <v>901000</v>
      </c>
      <c r="F49" s="190">
        <f>F50+F52+F54+F56+F60+F58</f>
        <v>912156</v>
      </c>
      <c r="G49" s="1793">
        <f t="shared" si="4"/>
        <v>1.0123817980022198</v>
      </c>
      <c r="H49" s="190">
        <f>H62+H66+H67+H68+H69</f>
        <v>665000</v>
      </c>
      <c r="I49" s="190">
        <f>I62+I66+I67+I68+I69</f>
        <v>885000</v>
      </c>
      <c r="J49" s="190">
        <f>J62+J66+J67+J68+J69</f>
        <v>885000</v>
      </c>
      <c r="K49" s="270">
        <f>J49/I49</f>
        <v>1</v>
      </c>
    </row>
    <row r="50" spans="1:11" ht="25.5">
      <c r="A50" s="1756"/>
      <c r="B50" s="1757"/>
      <c r="C50" s="93" t="s">
        <v>246</v>
      </c>
      <c r="D50" s="193">
        <f>D51</f>
        <v>389000</v>
      </c>
      <c r="E50" s="193">
        <f>E51</f>
        <v>488000</v>
      </c>
      <c r="F50" s="193">
        <f>F51</f>
        <v>488000</v>
      </c>
      <c r="G50" s="1758">
        <f t="shared" si="4"/>
        <v>1</v>
      </c>
      <c r="H50" s="94"/>
      <c r="I50" s="193"/>
      <c r="J50" s="193"/>
      <c r="K50" s="194"/>
    </row>
    <row r="51" spans="1:11" s="719" customFormat="1" ht="38.25">
      <c r="A51" s="1217"/>
      <c r="B51" s="1759">
        <v>201</v>
      </c>
      <c r="C51" s="1760" t="s">
        <v>238</v>
      </c>
      <c r="D51" s="1766">
        <v>389000</v>
      </c>
      <c r="E51" s="1766">
        <v>488000</v>
      </c>
      <c r="F51" s="1766">
        <v>488000</v>
      </c>
      <c r="G51" s="1767">
        <f t="shared" si="4"/>
        <v>1</v>
      </c>
      <c r="H51" s="1768"/>
      <c r="I51" s="1766"/>
      <c r="J51" s="1766"/>
      <c r="K51" s="1769"/>
    </row>
    <row r="52" spans="1:11" ht="25.5">
      <c r="A52" s="1756"/>
      <c r="B52" s="1802"/>
      <c r="C52" s="122" t="s">
        <v>247</v>
      </c>
      <c r="D52" s="201">
        <f>D53</f>
        <v>270000</v>
      </c>
      <c r="E52" s="201">
        <f>E53</f>
        <v>349000</v>
      </c>
      <c r="F52" s="201">
        <f>F53</f>
        <v>349000</v>
      </c>
      <c r="G52" s="1765">
        <f t="shared" si="4"/>
        <v>1</v>
      </c>
      <c r="H52" s="123"/>
      <c r="I52" s="201"/>
      <c r="J52" s="201"/>
      <c r="K52" s="202"/>
    </row>
    <row r="53" spans="1:11" s="719" customFormat="1" ht="38.25">
      <c r="A53" s="1217"/>
      <c r="B53" s="1759">
        <v>201</v>
      </c>
      <c r="C53" s="1760" t="s">
        <v>238</v>
      </c>
      <c r="D53" s="1766">
        <v>270000</v>
      </c>
      <c r="E53" s="1766">
        <v>349000</v>
      </c>
      <c r="F53" s="1766">
        <v>349000</v>
      </c>
      <c r="G53" s="1767">
        <f t="shared" si="4"/>
        <v>1</v>
      </c>
      <c r="H53" s="1768"/>
      <c r="I53" s="1766"/>
      <c r="J53" s="1766"/>
      <c r="K53" s="1769"/>
    </row>
    <row r="54" spans="1:11" ht="25.5">
      <c r="A54" s="1756"/>
      <c r="B54" s="1757"/>
      <c r="C54" s="93" t="s">
        <v>475</v>
      </c>
      <c r="D54" s="193"/>
      <c r="E54" s="193">
        <f>E55</f>
        <v>22000</v>
      </c>
      <c r="F54" s="193">
        <v>22000</v>
      </c>
      <c r="G54" s="1758">
        <f t="shared" si="4"/>
        <v>1</v>
      </c>
      <c r="H54" s="94"/>
      <c r="I54" s="193"/>
      <c r="J54" s="193"/>
      <c r="K54" s="194"/>
    </row>
    <row r="55" spans="1:11" s="719" customFormat="1" ht="38.25">
      <c r="A55" s="1217"/>
      <c r="B55" s="1759">
        <v>201</v>
      </c>
      <c r="C55" s="1760" t="s">
        <v>248</v>
      </c>
      <c r="D55" s="1766"/>
      <c r="E55" s="1766">
        <v>22000</v>
      </c>
      <c r="F55" s="1766">
        <v>22000</v>
      </c>
      <c r="G55" s="1767">
        <f t="shared" si="4"/>
        <v>1</v>
      </c>
      <c r="H55" s="1768"/>
      <c r="I55" s="1766"/>
      <c r="J55" s="1766"/>
      <c r="K55" s="1769"/>
    </row>
    <row r="56" spans="1:11" ht="25.5">
      <c r="A56" s="1756"/>
      <c r="B56" s="1757"/>
      <c r="C56" s="93" t="s">
        <v>249</v>
      </c>
      <c r="D56" s="193">
        <f>D57</f>
        <v>6000</v>
      </c>
      <c r="E56" s="193">
        <f>E57</f>
        <v>6000</v>
      </c>
      <c r="F56" s="193">
        <f>F57</f>
        <v>6000</v>
      </c>
      <c r="G56" s="1758">
        <f t="shared" si="4"/>
        <v>1</v>
      </c>
      <c r="H56" s="94"/>
      <c r="I56" s="193"/>
      <c r="J56" s="193"/>
      <c r="K56" s="1803"/>
    </row>
    <row r="57" spans="1:11" s="719" customFormat="1" ht="38.25">
      <c r="A57" s="1217"/>
      <c r="B57" s="1759">
        <v>631</v>
      </c>
      <c r="C57" s="1760" t="s">
        <v>250</v>
      </c>
      <c r="D57" s="1766">
        <v>6000</v>
      </c>
      <c r="E57" s="1766">
        <v>6000</v>
      </c>
      <c r="F57" s="1766">
        <v>6000</v>
      </c>
      <c r="G57" s="1767">
        <f t="shared" si="4"/>
        <v>1</v>
      </c>
      <c r="H57" s="1768"/>
      <c r="I57" s="1766"/>
      <c r="J57" s="1766"/>
      <c r="K57" s="1769"/>
    </row>
    <row r="58" spans="1:11" ht="25.5" customHeight="1">
      <c r="A58" s="1756"/>
      <c r="B58" s="1757"/>
      <c r="C58" s="93" t="s">
        <v>251</v>
      </c>
      <c r="D58" s="193"/>
      <c r="E58" s="193">
        <f>E59</f>
        <v>20000</v>
      </c>
      <c r="F58" s="193">
        <f>F59</f>
        <v>20000</v>
      </c>
      <c r="G58" s="1758">
        <f t="shared" si="4"/>
        <v>1</v>
      </c>
      <c r="H58" s="94"/>
      <c r="I58" s="193"/>
      <c r="J58" s="193"/>
      <c r="K58" s="1803"/>
    </row>
    <row r="59" spans="1:11" s="719" customFormat="1" ht="38.25">
      <c r="A59" s="1217"/>
      <c r="B59" s="1759">
        <v>631</v>
      </c>
      <c r="C59" s="1760" t="s">
        <v>250</v>
      </c>
      <c r="D59" s="1766"/>
      <c r="E59" s="1766">
        <v>20000</v>
      </c>
      <c r="F59" s="1766">
        <v>20000</v>
      </c>
      <c r="G59" s="1767">
        <f t="shared" si="4"/>
        <v>1</v>
      </c>
      <c r="H59" s="1768"/>
      <c r="I59" s="1766"/>
      <c r="J59" s="1766"/>
      <c r="K59" s="1769"/>
    </row>
    <row r="60" spans="1:11" ht="18" customHeight="1">
      <c r="A60" s="1217"/>
      <c r="B60" s="1217"/>
      <c r="C60" s="1434" t="s">
        <v>530</v>
      </c>
      <c r="D60" s="1162">
        <f>D61</f>
        <v>16000</v>
      </c>
      <c r="E60" s="1162">
        <f>E61</f>
        <v>16000</v>
      </c>
      <c r="F60" s="1162">
        <f>F61</f>
        <v>27156</v>
      </c>
      <c r="G60" s="1804">
        <f t="shared" si="4"/>
        <v>1.69725</v>
      </c>
      <c r="H60" s="1415"/>
      <c r="I60" s="1162"/>
      <c r="J60" s="1162"/>
      <c r="K60" s="1163"/>
    </row>
    <row r="61" spans="1:11" s="719" customFormat="1" ht="25.5">
      <c r="A61" s="1217"/>
      <c r="B61" s="1321">
        <v>235</v>
      </c>
      <c r="C61" s="1170" t="s">
        <v>241</v>
      </c>
      <c r="D61" s="1805">
        <v>16000</v>
      </c>
      <c r="E61" s="1805">
        <v>16000</v>
      </c>
      <c r="F61" s="1805">
        <v>27156</v>
      </c>
      <c r="G61" s="1806">
        <f t="shared" si="4"/>
        <v>1.69725</v>
      </c>
      <c r="H61" s="1807"/>
      <c r="I61" s="1805"/>
      <c r="J61" s="1805"/>
      <c r="K61" s="1808"/>
    </row>
    <row r="62" spans="1:11" ht="25.5">
      <c r="A62" s="1321"/>
      <c r="B62" s="1321"/>
      <c r="C62" s="367" t="s">
        <v>252</v>
      </c>
      <c r="D62" s="1208"/>
      <c r="E62" s="1208"/>
      <c r="F62" s="1208"/>
      <c r="G62" s="1809"/>
      <c r="H62" s="1810">
        <f>SUM(H63:H65)</f>
        <v>389000</v>
      </c>
      <c r="I62" s="1208">
        <f>SUM(I63:I65)</f>
        <v>488000</v>
      </c>
      <c r="J62" s="1208">
        <f>SUM(J63:J65)</f>
        <v>488000</v>
      </c>
      <c r="K62" s="1227">
        <f aca="true" t="shared" si="5" ref="K62:K70">J62/I62</f>
        <v>1</v>
      </c>
    </row>
    <row r="63" spans="1:11" ht="19.5" customHeight="1">
      <c r="A63" s="1139"/>
      <c r="B63" s="1139"/>
      <c r="C63" s="1811" t="s">
        <v>650</v>
      </c>
      <c r="D63" s="1812"/>
      <c r="E63" s="1812"/>
      <c r="F63" s="1812"/>
      <c r="G63" s="1813"/>
      <c r="H63" s="1814">
        <v>245000</v>
      </c>
      <c r="I63" s="1812">
        <v>245000</v>
      </c>
      <c r="J63" s="1812">
        <v>245000</v>
      </c>
      <c r="K63" s="1815">
        <f t="shared" si="5"/>
        <v>1</v>
      </c>
    </row>
    <row r="64" spans="1:11" ht="19.5" customHeight="1">
      <c r="A64" s="1139"/>
      <c r="B64" s="1139"/>
      <c r="C64" s="1816" t="s">
        <v>651</v>
      </c>
      <c r="D64" s="1817"/>
      <c r="E64" s="1817"/>
      <c r="F64" s="1817"/>
      <c r="G64" s="1818"/>
      <c r="H64" s="1819">
        <v>94000</v>
      </c>
      <c r="I64" s="1817">
        <v>194035</v>
      </c>
      <c r="J64" s="1817">
        <v>194035</v>
      </c>
      <c r="K64" s="1820">
        <f t="shared" si="5"/>
        <v>1</v>
      </c>
    </row>
    <row r="65" spans="1:11" ht="19.5" customHeight="1">
      <c r="A65" s="1139"/>
      <c r="B65" s="1139"/>
      <c r="C65" s="1816" t="s">
        <v>652</v>
      </c>
      <c r="D65" s="1817"/>
      <c r="E65" s="1817"/>
      <c r="F65" s="1817"/>
      <c r="G65" s="1818"/>
      <c r="H65" s="1819">
        <v>50000</v>
      </c>
      <c r="I65" s="1817">
        <v>48965</v>
      </c>
      <c r="J65" s="1817">
        <v>48965</v>
      </c>
      <c r="K65" s="1820">
        <f t="shared" si="5"/>
        <v>1</v>
      </c>
    </row>
    <row r="66" spans="1:11" s="694" customFormat="1" ht="18" customHeight="1">
      <c r="A66" s="1139"/>
      <c r="B66" s="1139"/>
      <c r="C66" s="234" t="s">
        <v>799</v>
      </c>
      <c r="D66" s="1183"/>
      <c r="E66" s="1183"/>
      <c r="F66" s="1183"/>
      <c r="G66" s="1821"/>
      <c r="H66" s="1822">
        <v>270000</v>
      </c>
      <c r="I66" s="1183">
        <v>349000</v>
      </c>
      <c r="J66" s="1183">
        <v>349000</v>
      </c>
      <c r="K66" s="1184">
        <f t="shared" si="5"/>
        <v>1</v>
      </c>
    </row>
    <row r="67" spans="1:11" s="694" customFormat="1" ht="25.5">
      <c r="A67" s="1139"/>
      <c r="B67" s="1139"/>
      <c r="C67" s="156" t="s">
        <v>253</v>
      </c>
      <c r="D67" s="1165"/>
      <c r="E67" s="1165"/>
      <c r="F67" s="1165"/>
      <c r="G67" s="1823"/>
      <c r="H67" s="1824"/>
      <c r="I67" s="1165">
        <v>22000</v>
      </c>
      <c r="J67" s="1165">
        <v>22000</v>
      </c>
      <c r="K67" s="1166">
        <f t="shared" si="5"/>
        <v>1</v>
      </c>
    </row>
    <row r="68" spans="1:11" s="694" customFormat="1" ht="25.5">
      <c r="A68" s="1139"/>
      <c r="B68" s="1139"/>
      <c r="C68" s="156" t="s">
        <v>802</v>
      </c>
      <c r="D68" s="1165"/>
      <c r="E68" s="1165"/>
      <c r="F68" s="1165"/>
      <c r="G68" s="1823"/>
      <c r="H68" s="1824"/>
      <c r="I68" s="1165">
        <v>20000</v>
      </c>
      <c r="J68" s="1165">
        <v>20000</v>
      </c>
      <c r="K68" s="1166">
        <f t="shared" si="5"/>
        <v>1</v>
      </c>
    </row>
    <row r="69" spans="1:11" s="694" customFormat="1" ht="25.5">
      <c r="A69" s="1139"/>
      <c r="B69" s="1169"/>
      <c r="C69" s="173" t="s">
        <v>254</v>
      </c>
      <c r="D69" s="1190"/>
      <c r="E69" s="1190"/>
      <c r="F69" s="1190"/>
      <c r="G69" s="1794"/>
      <c r="H69" s="1795">
        <v>6000</v>
      </c>
      <c r="I69" s="1190">
        <v>6000</v>
      </c>
      <c r="J69" s="1190">
        <v>6000</v>
      </c>
      <c r="K69" s="1191">
        <f t="shared" si="5"/>
        <v>1</v>
      </c>
    </row>
    <row r="70" spans="1:11" s="714" customFormat="1" ht="25.5" customHeight="1">
      <c r="A70" s="662"/>
      <c r="B70" s="663">
        <v>85313</v>
      </c>
      <c r="C70" s="609" t="s">
        <v>478</v>
      </c>
      <c r="D70" s="1150">
        <f aca="true" t="shared" si="6" ref="D70:F71">D71</f>
        <v>1473000</v>
      </c>
      <c r="E70" s="1150">
        <f t="shared" si="6"/>
        <v>864000</v>
      </c>
      <c r="F70" s="1150">
        <f t="shared" si="6"/>
        <v>864000</v>
      </c>
      <c r="G70" s="1796">
        <f>F70/E70</f>
        <v>1</v>
      </c>
      <c r="H70" s="664">
        <f>H73</f>
        <v>1473000</v>
      </c>
      <c r="I70" s="664">
        <f>I73</f>
        <v>864000</v>
      </c>
      <c r="J70" s="664">
        <f>J73</f>
        <v>864000</v>
      </c>
      <c r="K70" s="1151">
        <f t="shared" si="5"/>
        <v>1</v>
      </c>
    </row>
    <row r="71" spans="1:11" s="1473" customFormat="1" ht="25.5" customHeight="1">
      <c r="A71" s="1139"/>
      <c r="B71" s="1430"/>
      <c r="C71" s="93" t="s">
        <v>255</v>
      </c>
      <c r="D71" s="1450">
        <f t="shared" si="6"/>
        <v>1473000</v>
      </c>
      <c r="E71" s="1450">
        <f t="shared" si="6"/>
        <v>864000</v>
      </c>
      <c r="F71" s="1450">
        <f t="shared" si="6"/>
        <v>864000</v>
      </c>
      <c r="G71" s="1825">
        <f>F71/E71</f>
        <v>1</v>
      </c>
      <c r="H71" s="1798"/>
      <c r="I71" s="1450"/>
      <c r="J71" s="1450"/>
      <c r="K71" s="1451"/>
    </row>
    <row r="72" spans="1:11" s="1826" customFormat="1" ht="38.25">
      <c r="A72" s="1217"/>
      <c r="B72" s="1759">
        <v>201</v>
      </c>
      <c r="C72" s="1760" t="s">
        <v>238</v>
      </c>
      <c r="D72" s="1761">
        <f>1244000+229000</f>
        <v>1473000</v>
      </c>
      <c r="E72" s="1761">
        <v>864000</v>
      </c>
      <c r="F72" s="1761">
        <v>864000</v>
      </c>
      <c r="G72" s="1762">
        <f>F72/E72</f>
        <v>1</v>
      </c>
      <c r="H72" s="1763"/>
      <c r="I72" s="1761"/>
      <c r="J72" s="1761"/>
      <c r="K72" s="1764"/>
    </row>
    <row r="73" spans="1:11" s="694" customFormat="1" ht="25.5">
      <c r="A73" s="1139"/>
      <c r="B73" s="1169"/>
      <c r="C73" s="353" t="s">
        <v>256</v>
      </c>
      <c r="D73" s="1190"/>
      <c r="E73" s="1190"/>
      <c r="F73" s="1190"/>
      <c r="G73" s="1794"/>
      <c r="H73" s="1795">
        <f>1244000+229000</f>
        <v>1473000</v>
      </c>
      <c r="I73" s="1190">
        <v>864000</v>
      </c>
      <c r="J73" s="1190">
        <v>864000</v>
      </c>
      <c r="K73" s="1191">
        <f>J73/I73</f>
        <v>1</v>
      </c>
    </row>
    <row r="74" spans="1:11" ht="21.75" customHeight="1">
      <c r="A74" s="38"/>
      <c r="B74" s="66">
        <v>85314</v>
      </c>
      <c r="C74" s="79" t="s">
        <v>804</v>
      </c>
      <c r="D74" s="190">
        <f>D75</f>
        <v>20316000</v>
      </c>
      <c r="E74" s="190">
        <f>E75</f>
        <v>18711349</v>
      </c>
      <c r="F74" s="190">
        <f>F75+F77</f>
        <v>18754517</v>
      </c>
      <c r="G74" s="1793">
        <f>F74/E74</f>
        <v>1.0023070490534915</v>
      </c>
      <c r="H74" s="67">
        <f>H79</f>
        <v>20316000</v>
      </c>
      <c r="I74" s="67">
        <f>I79</f>
        <v>18711349</v>
      </c>
      <c r="J74" s="67">
        <f>J79</f>
        <v>18711349</v>
      </c>
      <c r="K74" s="270">
        <f>J74/I74</f>
        <v>1</v>
      </c>
    </row>
    <row r="75" spans="1:11" ht="25.5">
      <c r="A75" s="1756"/>
      <c r="B75" s="1757"/>
      <c r="C75" s="93" t="s">
        <v>257</v>
      </c>
      <c r="D75" s="193">
        <f>D76</f>
        <v>20316000</v>
      </c>
      <c r="E75" s="193">
        <f>E76</f>
        <v>18711349</v>
      </c>
      <c r="F75" s="193">
        <f>F76</f>
        <v>18711349</v>
      </c>
      <c r="G75" s="1758">
        <f>F75/E75</f>
        <v>1</v>
      </c>
      <c r="H75" s="94"/>
      <c r="I75" s="193"/>
      <c r="J75" s="193"/>
      <c r="K75" s="194"/>
    </row>
    <row r="76" spans="1:11" s="719" customFormat="1" ht="38.25">
      <c r="A76" s="1217"/>
      <c r="B76" s="1759">
        <v>201</v>
      </c>
      <c r="C76" s="1760" t="s">
        <v>238</v>
      </c>
      <c r="D76" s="1766">
        <f>20260000+56000</f>
        <v>20316000</v>
      </c>
      <c r="E76" s="1766">
        <v>18711349</v>
      </c>
      <c r="F76" s="1766">
        <v>18711349</v>
      </c>
      <c r="G76" s="1767">
        <f>F76/E76</f>
        <v>1</v>
      </c>
      <c r="H76" s="1768"/>
      <c r="I76" s="1766"/>
      <c r="J76" s="1766"/>
      <c r="K76" s="1769"/>
    </row>
    <row r="77" spans="1:11" s="694" customFormat="1" ht="18" customHeight="1">
      <c r="A77" s="1139"/>
      <c r="B77" s="271"/>
      <c r="C77" s="234" t="s">
        <v>258</v>
      </c>
      <c r="D77" s="289"/>
      <c r="E77" s="289"/>
      <c r="F77" s="289">
        <f>SUM(F78)</f>
        <v>43168</v>
      </c>
      <c r="G77" s="1827"/>
      <c r="H77" s="40"/>
      <c r="I77" s="289"/>
      <c r="J77" s="289"/>
      <c r="K77" s="290"/>
    </row>
    <row r="78" spans="1:11" s="1830" customFormat="1" ht="25.5">
      <c r="A78" s="1828"/>
      <c r="B78" s="1759">
        <v>235</v>
      </c>
      <c r="C78" s="1829" t="s">
        <v>241</v>
      </c>
      <c r="D78" s="1766"/>
      <c r="E78" s="1766"/>
      <c r="F78" s="1766">
        <v>43168</v>
      </c>
      <c r="G78" s="1767"/>
      <c r="H78" s="1768"/>
      <c r="I78" s="1766"/>
      <c r="J78" s="1766"/>
      <c r="K78" s="1769"/>
    </row>
    <row r="79" spans="1:11" s="694" customFormat="1" ht="18" customHeight="1">
      <c r="A79" s="38"/>
      <c r="B79" s="51"/>
      <c r="C79" s="1169" t="s">
        <v>707</v>
      </c>
      <c r="D79" s="272"/>
      <c r="E79" s="272"/>
      <c r="F79" s="272"/>
      <c r="G79" s="1831"/>
      <c r="H79" s="184">
        <f>20260000+56000</f>
        <v>20316000</v>
      </c>
      <c r="I79" s="272">
        <v>18711349</v>
      </c>
      <c r="J79" s="272">
        <v>18711349</v>
      </c>
      <c r="K79" s="273">
        <f>J79/I79</f>
        <v>1</v>
      </c>
    </row>
    <row r="80" spans="1:11" ht="19.5" customHeight="1">
      <c r="A80" s="38"/>
      <c r="B80" s="66">
        <v>85316</v>
      </c>
      <c r="C80" s="79" t="s">
        <v>481</v>
      </c>
      <c r="D80" s="190">
        <f>D81</f>
        <v>2206000</v>
      </c>
      <c r="E80" s="190">
        <f>E81</f>
        <v>1905488</v>
      </c>
      <c r="F80" s="190">
        <f>F81+F83</f>
        <v>1905500</v>
      </c>
      <c r="G80" s="1793">
        <f>F80/E80</f>
        <v>1.000006297599355</v>
      </c>
      <c r="H80" s="67">
        <f>H85</f>
        <v>2206000</v>
      </c>
      <c r="I80" s="67">
        <f>I85</f>
        <v>1905488</v>
      </c>
      <c r="J80" s="67">
        <f>J85</f>
        <v>1905488</v>
      </c>
      <c r="K80" s="270">
        <f>J80/I80</f>
        <v>1</v>
      </c>
    </row>
    <row r="81" spans="1:11" ht="25.5">
      <c r="A81" s="1756"/>
      <c r="B81" s="1757"/>
      <c r="C81" s="93" t="s">
        <v>259</v>
      </c>
      <c r="D81" s="193">
        <f>D82</f>
        <v>2206000</v>
      </c>
      <c r="E81" s="193">
        <f>E82</f>
        <v>1905488</v>
      </c>
      <c r="F81" s="193">
        <f>F82</f>
        <v>1905488</v>
      </c>
      <c r="G81" s="1758">
        <f>F81/E81</f>
        <v>1</v>
      </c>
      <c r="H81" s="94"/>
      <c r="I81" s="193"/>
      <c r="J81" s="193"/>
      <c r="K81" s="194"/>
    </row>
    <row r="82" spans="1:11" s="719" customFormat="1" ht="38.25">
      <c r="A82" s="1217"/>
      <c r="B82" s="1759">
        <v>201</v>
      </c>
      <c r="C82" s="1760" t="s">
        <v>238</v>
      </c>
      <c r="D82" s="1766">
        <f>2187000+19000</f>
        <v>2206000</v>
      </c>
      <c r="E82" s="1766">
        <v>1905488</v>
      </c>
      <c r="F82" s="1766">
        <v>1905488</v>
      </c>
      <c r="G82" s="1767">
        <f>F82/E82</f>
        <v>1</v>
      </c>
      <c r="H82" s="1768"/>
      <c r="I82" s="1766"/>
      <c r="J82" s="1766"/>
      <c r="K82" s="1769"/>
    </row>
    <row r="83" spans="1:11" s="694" customFormat="1" ht="18" customHeight="1">
      <c r="A83" s="1139"/>
      <c r="B83" s="271"/>
      <c r="C83" s="93" t="s">
        <v>258</v>
      </c>
      <c r="D83" s="193"/>
      <c r="E83" s="193"/>
      <c r="F83" s="193">
        <f>SUM(F84)</f>
        <v>12</v>
      </c>
      <c r="G83" s="1758"/>
      <c r="H83" s="94"/>
      <c r="I83" s="193"/>
      <c r="J83" s="193"/>
      <c r="K83" s="194"/>
    </row>
    <row r="84" spans="1:11" s="719" customFormat="1" ht="25.5">
      <c r="A84" s="1217"/>
      <c r="B84" s="1759">
        <v>235</v>
      </c>
      <c r="C84" s="1760" t="s">
        <v>241</v>
      </c>
      <c r="D84" s="1761"/>
      <c r="E84" s="1761"/>
      <c r="F84" s="1761">
        <v>12</v>
      </c>
      <c r="G84" s="1762"/>
      <c r="H84" s="1763"/>
      <c r="I84" s="1761"/>
      <c r="J84" s="1761"/>
      <c r="K84" s="1764"/>
    </row>
    <row r="85" spans="1:11" s="694" customFormat="1" ht="18" customHeight="1">
      <c r="A85" s="38"/>
      <c r="B85" s="51"/>
      <c r="C85" s="353" t="s">
        <v>707</v>
      </c>
      <c r="D85" s="1190"/>
      <c r="E85" s="1190"/>
      <c r="F85" s="1190"/>
      <c r="G85" s="1794"/>
      <c r="H85" s="1795">
        <f>2187000+19000</f>
        <v>2206000</v>
      </c>
      <c r="I85" s="1190">
        <v>1905488</v>
      </c>
      <c r="J85" s="1190">
        <v>1905488</v>
      </c>
      <c r="K85" s="1191">
        <f>J85/I85</f>
        <v>1</v>
      </c>
    </row>
    <row r="86" spans="1:11" ht="19.5" customHeight="1">
      <c r="A86" s="89"/>
      <c r="B86" s="66">
        <v>85319</v>
      </c>
      <c r="C86" s="79" t="s">
        <v>404</v>
      </c>
      <c r="D86" s="190">
        <f aca="true" t="shared" si="7" ref="D86:F87">D87</f>
        <v>3389000</v>
      </c>
      <c r="E86" s="190">
        <f t="shared" si="7"/>
        <v>3469000</v>
      </c>
      <c r="F86" s="190">
        <f t="shared" si="7"/>
        <v>3469000</v>
      </c>
      <c r="G86" s="1793">
        <f>F86/E86</f>
        <v>1</v>
      </c>
      <c r="H86" s="67">
        <f>SUM(H89:H91)</f>
        <v>3389000</v>
      </c>
      <c r="I86" s="67">
        <f>SUM(I89:I91)</f>
        <v>3469000</v>
      </c>
      <c r="J86" s="67">
        <f>SUM(J89:J91)</f>
        <v>3469000</v>
      </c>
      <c r="K86" s="270">
        <f>J86/I86</f>
        <v>1</v>
      </c>
    </row>
    <row r="87" spans="1:11" ht="25.5">
      <c r="A87" s="1756"/>
      <c r="B87" s="1757"/>
      <c r="C87" s="93" t="s">
        <v>483</v>
      </c>
      <c r="D87" s="193">
        <f t="shared" si="7"/>
        <v>3389000</v>
      </c>
      <c r="E87" s="193">
        <f t="shared" si="7"/>
        <v>3469000</v>
      </c>
      <c r="F87" s="193">
        <f t="shared" si="7"/>
        <v>3469000</v>
      </c>
      <c r="G87" s="1758">
        <f>F87/E87</f>
        <v>1</v>
      </c>
      <c r="H87" s="94"/>
      <c r="I87" s="193"/>
      <c r="J87" s="193"/>
      <c r="K87" s="194"/>
    </row>
    <row r="88" spans="1:11" s="719" customFormat="1" ht="38.25">
      <c r="A88" s="1217"/>
      <c r="B88" s="1759">
        <v>201</v>
      </c>
      <c r="C88" s="1760" t="s">
        <v>238</v>
      </c>
      <c r="D88" s="1761">
        <v>3389000</v>
      </c>
      <c r="E88" s="1761">
        <v>3469000</v>
      </c>
      <c r="F88" s="1761">
        <v>3469000</v>
      </c>
      <c r="G88" s="1762">
        <f>F88/E88</f>
        <v>1</v>
      </c>
      <c r="H88" s="1763"/>
      <c r="I88" s="1761"/>
      <c r="J88" s="1761"/>
      <c r="K88" s="1764"/>
    </row>
    <row r="89" spans="1:11" ht="18" customHeight="1">
      <c r="A89" s="1139"/>
      <c r="B89" s="1139"/>
      <c r="C89" s="1832" t="s">
        <v>650</v>
      </c>
      <c r="D89" s="1438"/>
      <c r="E89" s="1438"/>
      <c r="F89" s="1438"/>
      <c r="G89" s="1833"/>
      <c r="H89" s="1834">
        <v>2529000</v>
      </c>
      <c r="I89" s="1438">
        <v>2529000</v>
      </c>
      <c r="J89" s="1438">
        <v>2529000</v>
      </c>
      <c r="K89" s="1439">
        <f>J89/I89</f>
        <v>1</v>
      </c>
    </row>
    <row r="90" spans="1:11" ht="18" customHeight="1">
      <c r="A90" s="1139"/>
      <c r="B90" s="1139"/>
      <c r="C90" s="1416" t="s">
        <v>651</v>
      </c>
      <c r="D90" s="1165"/>
      <c r="E90" s="1165"/>
      <c r="F90" s="1165"/>
      <c r="G90" s="1823"/>
      <c r="H90" s="1824">
        <v>366940</v>
      </c>
      <c r="I90" s="1165">
        <v>446940</v>
      </c>
      <c r="J90" s="1165">
        <v>446940</v>
      </c>
      <c r="K90" s="1166">
        <f>J90/I90</f>
        <v>1</v>
      </c>
    </row>
    <row r="91" spans="1:11" ht="18" customHeight="1">
      <c r="A91" s="1139"/>
      <c r="B91" s="1169"/>
      <c r="C91" s="1169" t="s">
        <v>652</v>
      </c>
      <c r="D91" s="1190"/>
      <c r="E91" s="1190"/>
      <c r="F91" s="1190"/>
      <c r="G91" s="1794"/>
      <c r="H91" s="1795">
        <v>493060</v>
      </c>
      <c r="I91" s="1190">
        <v>493060</v>
      </c>
      <c r="J91" s="1190">
        <v>493060</v>
      </c>
      <c r="K91" s="1191">
        <f>J91/I91</f>
        <v>1</v>
      </c>
    </row>
    <row r="92" spans="1:11" ht="19.5" customHeight="1">
      <c r="A92" s="38"/>
      <c r="B92" s="66">
        <v>85328</v>
      </c>
      <c r="C92" s="79" t="s">
        <v>484</v>
      </c>
      <c r="D92" s="190">
        <f>D93+D95</f>
        <v>730000</v>
      </c>
      <c r="E92" s="190">
        <f>E93+E95</f>
        <v>911035</v>
      </c>
      <c r="F92" s="190">
        <f>F93+F95</f>
        <v>924147</v>
      </c>
      <c r="G92" s="1793">
        <f>F92/E92</f>
        <v>1.014392421805968</v>
      </c>
      <c r="H92" s="67">
        <f>H97</f>
        <v>670000</v>
      </c>
      <c r="I92" s="190">
        <f>I97</f>
        <v>851035</v>
      </c>
      <c r="J92" s="190">
        <f>J97</f>
        <v>851035</v>
      </c>
      <c r="K92" s="270">
        <f>J92/I92</f>
        <v>1</v>
      </c>
    </row>
    <row r="93" spans="1:11" ht="25.5">
      <c r="A93" s="1756"/>
      <c r="B93" s="1757"/>
      <c r="C93" s="93" t="s">
        <v>260</v>
      </c>
      <c r="D93" s="193">
        <f>D94</f>
        <v>670000</v>
      </c>
      <c r="E93" s="193">
        <f>E94</f>
        <v>851035</v>
      </c>
      <c r="F93" s="193">
        <f>F94</f>
        <v>851035</v>
      </c>
      <c r="G93" s="1758">
        <f>F93/E93</f>
        <v>1</v>
      </c>
      <c r="H93" s="94"/>
      <c r="I93" s="193"/>
      <c r="J93" s="193"/>
      <c r="K93" s="194"/>
    </row>
    <row r="94" spans="1:11" s="719" customFormat="1" ht="38.25">
      <c r="A94" s="1321"/>
      <c r="B94" s="1759">
        <v>201</v>
      </c>
      <c r="C94" s="1760" t="s">
        <v>238</v>
      </c>
      <c r="D94" s="1766">
        <v>670000</v>
      </c>
      <c r="E94" s="1766">
        <v>851035</v>
      </c>
      <c r="F94" s="1766">
        <v>851035</v>
      </c>
      <c r="G94" s="1767">
        <f>F94/E94</f>
        <v>1</v>
      </c>
      <c r="H94" s="1768"/>
      <c r="I94" s="1766"/>
      <c r="J94" s="1766"/>
      <c r="K94" s="1769"/>
    </row>
    <row r="95" spans="1:11" ht="18" customHeight="1">
      <c r="A95" s="1217"/>
      <c r="B95" s="1217"/>
      <c r="C95" s="1434" t="s">
        <v>406</v>
      </c>
      <c r="D95" s="1162">
        <f>D96</f>
        <v>60000</v>
      </c>
      <c r="E95" s="1162">
        <f>E96</f>
        <v>60000</v>
      </c>
      <c r="F95" s="1162">
        <f>F96</f>
        <v>73112</v>
      </c>
      <c r="G95" s="1804">
        <f>F95/E95</f>
        <v>1.2185333333333332</v>
      </c>
      <c r="H95" s="1415"/>
      <c r="I95" s="1162"/>
      <c r="J95" s="1162"/>
      <c r="K95" s="1163"/>
    </row>
    <row r="96" spans="1:11" s="719" customFormat="1" ht="25.5">
      <c r="A96" s="1217"/>
      <c r="B96" s="1321">
        <v>235</v>
      </c>
      <c r="C96" s="1170" t="s">
        <v>241</v>
      </c>
      <c r="D96" s="1835">
        <v>60000</v>
      </c>
      <c r="E96" s="1835">
        <v>60000</v>
      </c>
      <c r="F96" s="1835">
        <v>73112</v>
      </c>
      <c r="G96" s="1836">
        <f>F96/E96</f>
        <v>1.2185333333333332</v>
      </c>
      <c r="H96" s="1837"/>
      <c r="I96" s="1835"/>
      <c r="J96" s="1835"/>
      <c r="K96" s="1838"/>
    </row>
    <row r="97" spans="1:11" s="694" customFormat="1" ht="18" customHeight="1">
      <c r="A97" s="38"/>
      <c r="B97" s="51"/>
      <c r="C97" s="353" t="s">
        <v>805</v>
      </c>
      <c r="D97" s="1190"/>
      <c r="E97" s="1190"/>
      <c r="F97" s="1190"/>
      <c r="G97" s="1836"/>
      <c r="H97" s="1795">
        <v>670000</v>
      </c>
      <c r="I97" s="1190">
        <v>851035</v>
      </c>
      <c r="J97" s="1190">
        <v>851035</v>
      </c>
      <c r="K97" s="1191">
        <f>J97/I97</f>
        <v>1</v>
      </c>
    </row>
    <row r="98" spans="1:11" ht="19.5" customHeight="1">
      <c r="A98" s="38"/>
      <c r="B98" s="66">
        <v>85334</v>
      </c>
      <c r="C98" s="79" t="s">
        <v>486</v>
      </c>
      <c r="D98" s="190"/>
      <c r="E98" s="190">
        <f>E99</f>
        <v>18626</v>
      </c>
      <c r="F98" s="190">
        <f>F99</f>
        <v>18626</v>
      </c>
      <c r="G98" s="1793">
        <f>F98/E98</f>
        <v>1</v>
      </c>
      <c r="H98" s="67"/>
      <c r="I98" s="190">
        <f>I101</f>
        <v>18626</v>
      </c>
      <c r="J98" s="190">
        <f>J101</f>
        <v>18626</v>
      </c>
      <c r="K98" s="270">
        <f>J98/I98</f>
        <v>1</v>
      </c>
    </row>
    <row r="99" spans="1:11" ht="18" customHeight="1">
      <c r="A99" s="1217"/>
      <c r="B99" s="1217"/>
      <c r="C99" s="1434" t="s">
        <v>487</v>
      </c>
      <c r="D99" s="1162"/>
      <c r="E99" s="1162">
        <f>E100</f>
        <v>18626</v>
      </c>
      <c r="F99" s="1162">
        <f>F100</f>
        <v>18626</v>
      </c>
      <c r="G99" s="1804">
        <f>F99/E99</f>
        <v>1</v>
      </c>
      <c r="H99" s="1415"/>
      <c r="I99" s="1162"/>
      <c r="J99" s="1162"/>
      <c r="K99" s="1163"/>
    </row>
    <row r="100" spans="1:11" s="1830" customFormat="1" ht="38.25" customHeight="1">
      <c r="A100" s="1839"/>
      <c r="B100" s="1759">
        <v>201</v>
      </c>
      <c r="C100" s="1187" t="s">
        <v>248</v>
      </c>
      <c r="D100" s="1835"/>
      <c r="E100" s="1835">
        <v>18626</v>
      </c>
      <c r="F100" s="1835">
        <v>18626</v>
      </c>
      <c r="G100" s="1836">
        <f>F100/E100</f>
        <v>1</v>
      </c>
      <c r="H100" s="1837"/>
      <c r="I100" s="1835"/>
      <c r="J100" s="1835"/>
      <c r="K100" s="1838"/>
    </row>
    <row r="101" spans="1:11" s="694" customFormat="1" ht="18" customHeight="1">
      <c r="A101" s="38"/>
      <c r="B101" s="51"/>
      <c r="C101" s="353" t="s">
        <v>261</v>
      </c>
      <c r="D101" s="1190"/>
      <c r="E101" s="1190"/>
      <c r="F101" s="1190"/>
      <c r="G101" s="1836"/>
      <c r="H101" s="1795"/>
      <c r="I101" s="1190">
        <v>18626</v>
      </c>
      <c r="J101" s="1190">
        <v>18626</v>
      </c>
      <c r="K101" s="1191">
        <f>J101/I101</f>
        <v>1</v>
      </c>
    </row>
    <row r="102" spans="1:11" s="714" customFormat="1" ht="19.5" customHeight="1">
      <c r="A102" s="89"/>
      <c r="B102" s="66">
        <v>85395</v>
      </c>
      <c r="C102" s="609" t="s">
        <v>314</v>
      </c>
      <c r="D102" s="1150"/>
      <c r="E102" s="1150">
        <f>SUM(E103)</f>
        <v>31770</v>
      </c>
      <c r="F102" s="1150">
        <f>SUM(F103)</f>
        <v>31770</v>
      </c>
      <c r="G102" s="1796">
        <f>F102/E102</f>
        <v>1</v>
      </c>
      <c r="H102" s="664"/>
      <c r="I102" s="1150">
        <f>SUM(I105)</f>
        <v>31770</v>
      </c>
      <c r="J102" s="1150">
        <f>SUM(J105)</f>
        <v>31770</v>
      </c>
      <c r="K102" s="1151">
        <f>J102/I102</f>
        <v>1</v>
      </c>
    </row>
    <row r="103" spans="1:11" s="694" customFormat="1" ht="25.5">
      <c r="A103" s="38"/>
      <c r="B103" s="271"/>
      <c r="C103" s="347" t="s">
        <v>471</v>
      </c>
      <c r="D103" s="1450"/>
      <c r="E103" s="1450">
        <f>SUM(E104)</f>
        <v>31770</v>
      </c>
      <c r="F103" s="1450">
        <f>SUM(F104)</f>
        <v>31770</v>
      </c>
      <c r="G103" s="1825">
        <f>F103/E103</f>
        <v>1</v>
      </c>
      <c r="H103" s="1798"/>
      <c r="I103" s="1450"/>
      <c r="J103" s="1450"/>
      <c r="K103" s="1451"/>
    </row>
    <row r="104" spans="1:11" s="1830" customFormat="1" ht="38.25">
      <c r="A104" s="1839"/>
      <c r="B104" s="1759">
        <v>201</v>
      </c>
      <c r="C104" s="1187" t="s">
        <v>248</v>
      </c>
      <c r="D104" s="1835"/>
      <c r="E104" s="1835">
        <v>31770</v>
      </c>
      <c r="F104" s="1835">
        <v>31770</v>
      </c>
      <c r="G104" s="1836">
        <f>F104/E104</f>
        <v>1</v>
      </c>
      <c r="H104" s="1837"/>
      <c r="I104" s="1835"/>
      <c r="J104" s="1835"/>
      <c r="K104" s="1838"/>
    </row>
    <row r="105" spans="1:11" s="694" customFormat="1" ht="19.5" customHeight="1">
      <c r="A105" s="50"/>
      <c r="B105" s="51"/>
      <c r="C105" s="353" t="s">
        <v>262</v>
      </c>
      <c r="D105" s="1190"/>
      <c r="E105" s="1190"/>
      <c r="F105" s="1190"/>
      <c r="G105" s="1794"/>
      <c r="H105" s="1795"/>
      <c r="I105" s="1190">
        <v>31770</v>
      </c>
      <c r="J105" s="1190">
        <v>31770</v>
      </c>
      <c r="K105" s="1191">
        <f>J105/I105</f>
        <v>1</v>
      </c>
    </row>
    <row r="106" spans="1:11" ht="19.5" customHeight="1">
      <c r="A106" s="177">
        <v>900</v>
      </c>
      <c r="B106" s="58"/>
      <c r="C106" s="59" t="s">
        <v>413</v>
      </c>
      <c r="D106" s="228">
        <f>D107</f>
        <v>3094000</v>
      </c>
      <c r="E106" s="228">
        <f>E107</f>
        <v>3158860</v>
      </c>
      <c r="F106" s="228">
        <f>F107</f>
        <v>3158860</v>
      </c>
      <c r="G106" s="1754">
        <f aca="true" t="shared" si="8" ref="G106:G111">F106/E106</f>
        <v>1</v>
      </c>
      <c r="H106" s="227">
        <f>H107</f>
        <v>3094000</v>
      </c>
      <c r="I106" s="228">
        <f>I107</f>
        <v>3158860</v>
      </c>
      <c r="J106" s="228">
        <f>J107</f>
        <v>2782799</v>
      </c>
      <c r="K106" s="303">
        <f>J106/I106</f>
        <v>0.880950406159184</v>
      </c>
    </row>
    <row r="107" spans="1:11" ht="19.5" customHeight="1">
      <c r="A107" s="89"/>
      <c r="B107" s="178">
        <v>90015</v>
      </c>
      <c r="C107" s="90" t="s">
        <v>419</v>
      </c>
      <c r="D107" s="232">
        <f>D108+D110</f>
        <v>3094000</v>
      </c>
      <c r="E107" s="232">
        <f>E108+E110</f>
        <v>3158860</v>
      </c>
      <c r="F107" s="232">
        <f>F108+F110</f>
        <v>3158860</v>
      </c>
      <c r="G107" s="1755">
        <f t="shared" si="8"/>
        <v>1</v>
      </c>
      <c r="H107" s="231">
        <f>SUM(H112:H113)</f>
        <v>3094000</v>
      </c>
      <c r="I107" s="232">
        <f>SUM(I112:I113)</f>
        <v>3158860</v>
      </c>
      <c r="J107" s="232">
        <f>SUM(J112:J113)</f>
        <v>2782799</v>
      </c>
      <c r="K107" s="233">
        <f>J107/I107</f>
        <v>0.880950406159184</v>
      </c>
    </row>
    <row r="108" spans="1:11" s="1473" customFormat="1" ht="19.5" customHeight="1">
      <c r="A108" s="1756"/>
      <c r="B108" s="1757"/>
      <c r="C108" s="93" t="s">
        <v>488</v>
      </c>
      <c r="D108" s="193">
        <f>D109</f>
        <v>2955000</v>
      </c>
      <c r="E108" s="193">
        <f>E109</f>
        <v>3019860</v>
      </c>
      <c r="F108" s="193">
        <f>F109</f>
        <v>3019860</v>
      </c>
      <c r="G108" s="1758">
        <f t="shared" si="8"/>
        <v>1</v>
      </c>
      <c r="H108" s="94"/>
      <c r="I108" s="193"/>
      <c r="J108" s="193"/>
      <c r="K108" s="194"/>
    </row>
    <row r="109" spans="1:11" s="719" customFormat="1" ht="38.25">
      <c r="A109" s="1756"/>
      <c r="B109" s="1759">
        <v>201</v>
      </c>
      <c r="C109" s="1760" t="s">
        <v>238</v>
      </c>
      <c r="D109" s="1840">
        <v>2955000</v>
      </c>
      <c r="E109" s="1840">
        <v>3019860</v>
      </c>
      <c r="F109" s="1840">
        <v>3019860</v>
      </c>
      <c r="G109" s="1841">
        <f t="shared" si="8"/>
        <v>1</v>
      </c>
      <c r="H109" s="1842"/>
      <c r="I109" s="1840"/>
      <c r="J109" s="1840"/>
      <c r="K109" s="1843"/>
    </row>
    <row r="110" spans="1:11" ht="25.5">
      <c r="A110" s="1756"/>
      <c r="B110" s="1802"/>
      <c r="C110" s="156" t="s">
        <v>489</v>
      </c>
      <c r="D110" s="201">
        <f>D111</f>
        <v>139000</v>
      </c>
      <c r="E110" s="201">
        <f>E111</f>
        <v>139000</v>
      </c>
      <c r="F110" s="201">
        <f>F111</f>
        <v>139000</v>
      </c>
      <c r="G110" s="1765">
        <f t="shared" si="8"/>
        <v>1</v>
      </c>
      <c r="H110" s="123"/>
      <c r="I110" s="201"/>
      <c r="J110" s="201"/>
      <c r="K110" s="202"/>
    </row>
    <row r="111" spans="1:11" s="719" customFormat="1" ht="38.25">
      <c r="A111" s="1756"/>
      <c r="B111" s="1759">
        <v>631</v>
      </c>
      <c r="C111" s="1760" t="s">
        <v>263</v>
      </c>
      <c r="D111" s="1761">
        <f>59000+80000</f>
        <v>139000</v>
      </c>
      <c r="E111" s="1761">
        <f>59000+80000</f>
        <v>139000</v>
      </c>
      <c r="F111" s="1761">
        <v>139000</v>
      </c>
      <c r="G111" s="1762">
        <f t="shared" si="8"/>
        <v>1</v>
      </c>
      <c r="H111" s="1763"/>
      <c r="I111" s="1761"/>
      <c r="J111" s="1761"/>
      <c r="K111" s="1764"/>
    </row>
    <row r="112" spans="1:11" s="694" customFormat="1" ht="25.5">
      <c r="A112" s="1139"/>
      <c r="B112" s="1139"/>
      <c r="C112" s="1182" t="s">
        <v>264</v>
      </c>
      <c r="D112" s="1183"/>
      <c r="E112" s="1183"/>
      <c r="F112" s="1183"/>
      <c r="G112" s="1821"/>
      <c r="H112" s="1822">
        <f>2955000</f>
        <v>2955000</v>
      </c>
      <c r="I112" s="1183">
        <v>3019860</v>
      </c>
      <c r="J112" s="1183">
        <v>2723799</v>
      </c>
      <c r="K112" s="1184">
        <f>J112/I112</f>
        <v>0.901962011483976</v>
      </c>
    </row>
    <row r="113" spans="1:11" s="694" customFormat="1" ht="25.5">
      <c r="A113" s="1139"/>
      <c r="B113" s="1139"/>
      <c r="C113" s="658" t="s">
        <v>808</v>
      </c>
      <c r="D113" s="1438"/>
      <c r="E113" s="1438"/>
      <c r="F113" s="1438"/>
      <c r="G113" s="1833"/>
      <c r="H113" s="1834">
        <f>59000+80000</f>
        <v>139000</v>
      </c>
      <c r="I113" s="1438">
        <v>139000</v>
      </c>
      <c r="J113" s="1438">
        <v>59000</v>
      </c>
      <c r="K113" s="1439">
        <f>J113/I113</f>
        <v>0.4244604316546763</v>
      </c>
    </row>
    <row r="114" spans="1:11" ht="37.5" customHeight="1" thickBot="1">
      <c r="A114" s="351"/>
      <c r="B114" s="352"/>
      <c r="C114" s="1844" t="s">
        <v>265</v>
      </c>
      <c r="D114" s="1845">
        <f>D115+D124+D131+D145+D156+D165+D177</f>
        <v>28531784</v>
      </c>
      <c r="E114" s="1845">
        <f>E115+E124+E131+E145+E156+E165+E177</f>
        <v>28872013</v>
      </c>
      <c r="F114" s="1845">
        <f>F115+F124+F131+F145+F156+F165+F177</f>
        <v>28216535</v>
      </c>
      <c r="G114" s="1846">
        <f aca="true" t="shared" si="9" ref="G114:G120">F114/E114</f>
        <v>0.977297114683344</v>
      </c>
      <c r="H114" s="1845">
        <f>H115+H124+H131+H145+H156+H165+H177</f>
        <v>20667784</v>
      </c>
      <c r="I114" s="1845">
        <f>I115+I124+I131+I145+I156+I165+I177</f>
        <v>21063013</v>
      </c>
      <c r="J114" s="1845">
        <f>J115+J124+J131+J145+J156+J165+J177</f>
        <v>20720283</v>
      </c>
      <c r="K114" s="1847">
        <f>J114/I114</f>
        <v>0.9837283488359428</v>
      </c>
    </row>
    <row r="115" spans="1:11" ht="19.5" customHeight="1" thickTop="1">
      <c r="A115" s="615" t="s">
        <v>311</v>
      </c>
      <c r="B115" s="615"/>
      <c r="C115" s="59" t="s">
        <v>312</v>
      </c>
      <c r="D115" s="420">
        <f>D116</f>
        <v>990000</v>
      </c>
      <c r="E115" s="420">
        <f>E116</f>
        <v>370000</v>
      </c>
      <c r="F115" s="420">
        <f>F116</f>
        <v>366423</v>
      </c>
      <c r="G115" s="1848">
        <f t="shared" si="9"/>
        <v>0.9903324324324324</v>
      </c>
      <c r="H115" s="421">
        <f>H116</f>
        <v>910000</v>
      </c>
      <c r="I115" s="421">
        <f>I116</f>
        <v>345000</v>
      </c>
      <c r="J115" s="421">
        <f>J116</f>
        <v>345000</v>
      </c>
      <c r="K115" s="422">
        <f>J115/I115</f>
        <v>1</v>
      </c>
    </row>
    <row r="116" spans="1:11" ht="19.5" customHeight="1">
      <c r="A116" s="607"/>
      <c r="B116" s="608" t="s">
        <v>492</v>
      </c>
      <c r="C116" s="609" t="s">
        <v>493</v>
      </c>
      <c r="D116" s="365">
        <f>D117+D119</f>
        <v>990000</v>
      </c>
      <c r="E116" s="365">
        <f>E117+E119</f>
        <v>370000</v>
      </c>
      <c r="F116" s="365">
        <f>F117+F119</f>
        <v>366423</v>
      </c>
      <c r="G116" s="1849">
        <f t="shared" si="9"/>
        <v>0.9903324324324324</v>
      </c>
      <c r="H116" s="364">
        <f>SUM(H121:H123)</f>
        <v>910000</v>
      </c>
      <c r="I116" s="364">
        <f>SUM(I121:I123)</f>
        <v>345000</v>
      </c>
      <c r="J116" s="364">
        <f>SUM(J121:J123)</f>
        <v>345000</v>
      </c>
      <c r="K116" s="366">
        <f>J116/I116</f>
        <v>1</v>
      </c>
    </row>
    <row r="117" spans="1:11" ht="18" customHeight="1">
      <c r="A117" s="1756"/>
      <c r="B117" s="1757"/>
      <c r="C117" s="93" t="s">
        <v>266</v>
      </c>
      <c r="D117" s="193">
        <f>D118</f>
        <v>910000</v>
      </c>
      <c r="E117" s="193">
        <f>E118</f>
        <v>345000</v>
      </c>
      <c r="F117" s="193">
        <f>F118</f>
        <v>345000</v>
      </c>
      <c r="G117" s="1758">
        <f t="shared" si="9"/>
        <v>1</v>
      </c>
      <c r="H117" s="94"/>
      <c r="I117" s="193"/>
      <c r="J117" s="193"/>
      <c r="K117" s="194"/>
    </row>
    <row r="118" spans="1:11" s="719" customFormat="1" ht="38.25">
      <c r="A118" s="1756"/>
      <c r="B118" s="1759">
        <v>211</v>
      </c>
      <c r="C118" s="1760" t="s">
        <v>267</v>
      </c>
      <c r="D118" s="1761">
        <v>910000</v>
      </c>
      <c r="E118" s="1761">
        <v>345000</v>
      </c>
      <c r="F118" s="1761">
        <v>345000</v>
      </c>
      <c r="G118" s="1762">
        <f t="shared" si="9"/>
        <v>1</v>
      </c>
      <c r="H118" s="1763"/>
      <c r="I118" s="1761"/>
      <c r="J118" s="1761"/>
      <c r="K118" s="1764"/>
    </row>
    <row r="119" spans="1:11" ht="18" customHeight="1">
      <c r="A119" s="1850"/>
      <c r="B119" s="1850"/>
      <c r="C119" s="1434" t="s">
        <v>268</v>
      </c>
      <c r="D119" s="651">
        <f>D120</f>
        <v>80000</v>
      </c>
      <c r="E119" s="651">
        <f>E120</f>
        <v>25000</v>
      </c>
      <c r="F119" s="651">
        <f>F120</f>
        <v>21423</v>
      </c>
      <c r="G119" s="1851">
        <f t="shared" si="9"/>
        <v>0.85692</v>
      </c>
      <c r="H119" s="650"/>
      <c r="I119" s="651"/>
      <c r="J119" s="651"/>
      <c r="K119" s="1852"/>
    </row>
    <row r="120" spans="1:11" s="719" customFormat="1" ht="25.5">
      <c r="A120" s="1850"/>
      <c r="B120" s="1321">
        <v>235</v>
      </c>
      <c r="C120" s="1170" t="s">
        <v>241</v>
      </c>
      <c r="D120" s="1853">
        <v>80000</v>
      </c>
      <c r="E120" s="1853">
        <v>25000</v>
      </c>
      <c r="F120" s="1853">
        <v>21423</v>
      </c>
      <c r="G120" s="1854">
        <f t="shared" si="9"/>
        <v>0.85692</v>
      </c>
      <c r="H120" s="1855"/>
      <c r="I120" s="1853"/>
      <c r="J120" s="1853"/>
      <c r="K120" s="1856"/>
    </row>
    <row r="121" spans="1:11" s="694" customFormat="1" ht="18" customHeight="1">
      <c r="A121" s="1139"/>
      <c r="B121" s="1139"/>
      <c r="C121" s="1478" t="s">
        <v>650</v>
      </c>
      <c r="D121" s="1183"/>
      <c r="E121" s="1183"/>
      <c r="F121" s="1183"/>
      <c r="G121" s="1821"/>
      <c r="H121" s="1822">
        <v>650120</v>
      </c>
      <c r="I121" s="1183">
        <v>229840</v>
      </c>
      <c r="J121" s="1183">
        <v>229840</v>
      </c>
      <c r="K121" s="1184">
        <f>J121/I121</f>
        <v>1</v>
      </c>
    </row>
    <row r="122" spans="1:11" s="694" customFormat="1" ht="18" customHeight="1">
      <c r="A122" s="1139"/>
      <c r="B122" s="1139"/>
      <c r="C122" s="1774" t="s">
        <v>651</v>
      </c>
      <c r="D122" s="1165"/>
      <c r="E122" s="1165"/>
      <c r="F122" s="1165"/>
      <c r="G122" s="1823"/>
      <c r="H122" s="1824">
        <v>128480</v>
      </c>
      <c r="I122" s="1165">
        <v>57133</v>
      </c>
      <c r="J122" s="1165">
        <v>57133</v>
      </c>
      <c r="K122" s="1166">
        <f>J122/I122</f>
        <v>1</v>
      </c>
    </row>
    <row r="123" spans="1:11" s="694" customFormat="1" ht="18" customHeight="1">
      <c r="A123" s="1139"/>
      <c r="B123" s="1139"/>
      <c r="C123" s="1478" t="s">
        <v>652</v>
      </c>
      <c r="D123" s="1183"/>
      <c r="E123" s="1183"/>
      <c r="F123" s="1183"/>
      <c r="G123" s="1821"/>
      <c r="H123" s="1822">
        <v>131400</v>
      </c>
      <c r="I123" s="1183">
        <v>58027</v>
      </c>
      <c r="J123" s="1183">
        <v>58027</v>
      </c>
      <c r="K123" s="1184">
        <f>J123/I123</f>
        <v>1</v>
      </c>
    </row>
    <row r="124" spans="1:11" ht="19.5" customHeight="1">
      <c r="A124" s="137">
        <v>700</v>
      </c>
      <c r="B124" s="153"/>
      <c r="C124" s="176" t="s">
        <v>497</v>
      </c>
      <c r="D124" s="396">
        <f>D125</f>
        <v>8073000</v>
      </c>
      <c r="E124" s="396">
        <f>E125</f>
        <v>8893076</v>
      </c>
      <c r="F124" s="396">
        <f>F125</f>
        <v>8494463</v>
      </c>
      <c r="G124" s="1857">
        <f aca="true" t="shared" si="10" ref="G124:G129">F124/E124</f>
        <v>0.9551771513028787</v>
      </c>
      <c r="H124" s="395">
        <f>H125</f>
        <v>320000</v>
      </c>
      <c r="I124" s="396">
        <f>I125</f>
        <v>1140076</v>
      </c>
      <c r="J124" s="396">
        <f>J125</f>
        <v>1087618</v>
      </c>
      <c r="K124" s="397">
        <f>J124/I124</f>
        <v>0.953987278041113</v>
      </c>
    </row>
    <row r="125" spans="1:11" ht="19.5" customHeight="1">
      <c r="A125" s="345"/>
      <c r="B125" s="358">
        <v>70005</v>
      </c>
      <c r="C125" s="399" t="s">
        <v>319</v>
      </c>
      <c r="D125" s="401">
        <f>D126+D128</f>
        <v>8073000</v>
      </c>
      <c r="E125" s="401">
        <f>E126+E128</f>
        <v>8893076</v>
      </c>
      <c r="F125" s="401">
        <f>F126+F128</f>
        <v>8494463</v>
      </c>
      <c r="G125" s="1858">
        <f t="shared" si="10"/>
        <v>0.9551771513028787</v>
      </c>
      <c r="H125" s="400">
        <f>SUM(H126:H130)</f>
        <v>320000</v>
      </c>
      <c r="I125" s="401">
        <f>SUM(I126:I130)</f>
        <v>1140076</v>
      </c>
      <c r="J125" s="401">
        <f>SUM(J126:J130)</f>
        <v>1087618</v>
      </c>
      <c r="K125" s="402">
        <f>J125/I125</f>
        <v>0.953987278041113</v>
      </c>
    </row>
    <row r="126" spans="1:11" ht="25.5">
      <c r="A126" s="1859"/>
      <c r="B126" s="1860"/>
      <c r="C126" s="1861" t="s">
        <v>269</v>
      </c>
      <c r="D126" s="1494">
        <f>D127</f>
        <v>320000</v>
      </c>
      <c r="E126" s="1494">
        <f>E127</f>
        <v>1140076</v>
      </c>
      <c r="F126" s="1494">
        <f>F127</f>
        <v>1087618</v>
      </c>
      <c r="G126" s="1862">
        <f t="shared" si="10"/>
        <v>0.953987278041113</v>
      </c>
      <c r="H126" s="1863"/>
      <c r="I126" s="1494"/>
      <c r="J126" s="1494"/>
      <c r="K126" s="1864"/>
    </row>
    <row r="127" spans="1:11" s="719" customFormat="1" ht="38.25">
      <c r="A127" s="1865"/>
      <c r="B127" s="1759">
        <v>211</v>
      </c>
      <c r="C127" s="1760" t="s">
        <v>270</v>
      </c>
      <c r="D127" s="1853">
        <v>320000</v>
      </c>
      <c r="E127" s="1853">
        <v>1140076</v>
      </c>
      <c r="F127" s="1853">
        <v>1087618</v>
      </c>
      <c r="G127" s="1854">
        <f t="shared" si="10"/>
        <v>0.953987278041113</v>
      </c>
      <c r="H127" s="1855"/>
      <c r="I127" s="1853"/>
      <c r="J127" s="1853"/>
      <c r="K127" s="1856"/>
    </row>
    <row r="128" spans="1:11" ht="24" customHeight="1">
      <c r="A128" s="1850"/>
      <c r="B128" s="1850"/>
      <c r="C128" s="623" t="s">
        <v>271</v>
      </c>
      <c r="D128" s="651">
        <f>D129</f>
        <v>7753000</v>
      </c>
      <c r="E128" s="651">
        <f>E129</f>
        <v>7753000</v>
      </c>
      <c r="F128" s="651">
        <f>F129</f>
        <v>7406845</v>
      </c>
      <c r="G128" s="1851">
        <f t="shared" si="10"/>
        <v>0.9553521217593189</v>
      </c>
      <c r="H128" s="650"/>
      <c r="I128" s="651"/>
      <c r="J128" s="651"/>
      <c r="K128" s="1852"/>
    </row>
    <row r="129" spans="1:11" s="719" customFormat="1" ht="25.5">
      <c r="A129" s="1850"/>
      <c r="B129" s="1321">
        <v>235</v>
      </c>
      <c r="C129" s="1170" t="s">
        <v>241</v>
      </c>
      <c r="D129" s="1866">
        <v>7753000</v>
      </c>
      <c r="E129" s="1866">
        <v>7753000</v>
      </c>
      <c r="F129" s="1866">
        <v>7406845</v>
      </c>
      <c r="G129" s="1867">
        <f t="shared" si="10"/>
        <v>0.9553521217593189</v>
      </c>
      <c r="H129" s="1868"/>
      <c r="I129" s="1866"/>
      <c r="J129" s="1866"/>
      <c r="K129" s="1869"/>
    </row>
    <row r="130" spans="1:11" s="694" customFormat="1" ht="18" customHeight="1">
      <c r="A130" s="607"/>
      <c r="B130" s="622"/>
      <c r="C130" s="1870" t="s">
        <v>812</v>
      </c>
      <c r="D130" s="1162"/>
      <c r="E130" s="1162"/>
      <c r="F130" s="1162"/>
      <c r="G130" s="1804"/>
      <c r="H130" s="1415">
        <v>320000</v>
      </c>
      <c r="I130" s="1162">
        <v>1140076</v>
      </c>
      <c r="J130" s="1162">
        <v>1087618</v>
      </c>
      <c r="K130" s="1163">
        <f>J130/I130</f>
        <v>0.953987278041113</v>
      </c>
    </row>
    <row r="131" spans="1:11" ht="19.5" customHeight="1">
      <c r="A131" s="137">
        <v>710</v>
      </c>
      <c r="B131" s="153"/>
      <c r="C131" s="176" t="s">
        <v>332</v>
      </c>
      <c r="D131" s="396">
        <f>D132+D136</f>
        <v>411512</v>
      </c>
      <c r="E131" s="396">
        <f>E132+E136</f>
        <v>424099</v>
      </c>
      <c r="F131" s="396">
        <f>F132+F136</f>
        <v>422897</v>
      </c>
      <c r="G131" s="1857">
        <f>F131/E131</f>
        <v>0.9971657561088331</v>
      </c>
      <c r="H131" s="395">
        <f>H132+H136</f>
        <v>411512</v>
      </c>
      <c r="I131" s="396">
        <f>I132+I136</f>
        <v>424099</v>
      </c>
      <c r="J131" s="396">
        <f>J132+J136</f>
        <v>422897</v>
      </c>
      <c r="K131" s="397">
        <f>J131/I131</f>
        <v>0.9971657561088331</v>
      </c>
    </row>
    <row r="132" spans="1:11" ht="19.5" customHeight="1">
      <c r="A132" s="345"/>
      <c r="B132" s="358">
        <v>71013</v>
      </c>
      <c r="C132" s="399" t="s">
        <v>581</v>
      </c>
      <c r="D132" s="401">
        <f aca="true" t="shared" si="11" ref="D132:F133">D133</f>
        <v>80000</v>
      </c>
      <c r="E132" s="401">
        <f t="shared" si="11"/>
        <v>80000</v>
      </c>
      <c r="F132" s="401">
        <f t="shared" si="11"/>
        <v>80000</v>
      </c>
      <c r="G132" s="1858">
        <f>F132/E132</f>
        <v>1</v>
      </c>
      <c r="H132" s="400">
        <f>H135</f>
        <v>80000</v>
      </c>
      <c r="I132" s="401">
        <f>I135</f>
        <v>80000</v>
      </c>
      <c r="J132" s="401">
        <f>J135</f>
        <v>80000</v>
      </c>
      <c r="K132" s="402">
        <f>J132/I132</f>
        <v>1</v>
      </c>
    </row>
    <row r="133" spans="1:11" ht="18" customHeight="1">
      <c r="A133" s="1865"/>
      <c r="B133" s="1212"/>
      <c r="C133" s="347" t="s">
        <v>582</v>
      </c>
      <c r="D133" s="553">
        <f t="shared" si="11"/>
        <v>80000</v>
      </c>
      <c r="E133" s="553">
        <f t="shared" si="11"/>
        <v>80000</v>
      </c>
      <c r="F133" s="553">
        <f t="shared" si="11"/>
        <v>80000</v>
      </c>
      <c r="G133" s="1871">
        <f>F133/E133</f>
        <v>1</v>
      </c>
      <c r="H133" s="348"/>
      <c r="I133" s="553"/>
      <c r="J133" s="553"/>
      <c r="K133" s="554"/>
    </row>
    <row r="134" spans="1:11" s="719" customFormat="1" ht="38.25">
      <c r="A134" s="1865"/>
      <c r="B134" s="1759">
        <v>211</v>
      </c>
      <c r="C134" s="1760" t="s">
        <v>272</v>
      </c>
      <c r="D134" s="1872">
        <v>80000</v>
      </c>
      <c r="E134" s="1872">
        <v>80000</v>
      </c>
      <c r="F134" s="1872">
        <v>80000</v>
      </c>
      <c r="G134" s="1873">
        <f>F134/E134</f>
        <v>1</v>
      </c>
      <c r="H134" s="1874"/>
      <c r="I134" s="1872"/>
      <c r="J134" s="1872"/>
      <c r="K134" s="1875"/>
    </row>
    <row r="135" spans="1:11" s="694" customFormat="1" ht="25.5">
      <c r="A135" s="607"/>
      <c r="B135" s="629"/>
      <c r="C135" s="630" t="s">
        <v>273</v>
      </c>
      <c r="D135" s="1190"/>
      <c r="E135" s="1190"/>
      <c r="F135" s="1190"/>
      <c r="G135" s="1794"/>
      <c r="H135" s="1795">
        <v>80000</v>
      </c>
      <c r="I135" s="1190">
        <v>80000</v>
      </c>
      <c r="J135" s="1190">
        <v>80000</v>
      </c>
      <c r="K135" s="1191">
        <f>J135/I135</f>
        <v>1</v>
      </c>
    </row>
    <row r="136" spans="1:11" ht="19.5" customHeight="1">
      <c r="A136" s="345"/>
      <c r="B136" s="340">
        <v>71015</v>
      </c>
      <c r="C136" s="609" t="s">
        <v>500</v>
      </c>
      <c r="D136" s="365">
        <f>D137</f>
        <v>331512</v>
      </c>
      <c r="E136" s="365">
        <f>E137+E139</f>
        <v>344099</v>
      </c>
      <c r="F136" s="365">
        <f>F137+F139</f>
        <v>342897</v>
      </c>
      <c r="G136" s="1849">
        <f>F136/E136</f>
        <v>0.9965068192584111</v>
      </c>
      <c r="H136" s="364">
        <f>SUM(H141:H143)</f>
        <v>331512</v>
      </c>
      <c r="I136" s="365">
        <f>SUM(I141:I144)</f>
        <v>344099</v>
      </c>
      <c r="J136" s="365">
        <f>SUM(J141:J144)</f>
        <v>342897</v>
      </c>
      <c r="K136" s="366">
        <f>J136/I136</f>
        <v>0.9965068192584111</v>
      </c>
    </row>
    <row r="137" spans="1:11" s="1473" customFormat="1" ht="25.5">
      <c r="A137" s="1865"/>
      <c r="B137" s="1876"/>
      <c r="C137" s="637" t="s">
        <v>583</v>
      </c>
      <c r="D137" s="553">
        <f>D138</f>
        <v>331512</v>
      </c>
      <c r="E137" s="553">
        <f>E138</f>
        <v>340099</v>
      </c>
      <c r="F137" s="553">
        <f>F138</f>
        <v>338953</v>
      </c>
      <c r="G137" s="1871">
        <f>F137/E137</f>
        <v>0.9966303929150042</v>
      </c>
      <c r="H137" s="348"/>
      <c r="I137" s="553"/>
      <c r="J137" s="553"/>
      <c r="K137" s="554"/>
    </row>
    <row r="138" spans="1:11" s="719" customFormat="1" ht="38.25">
      <c r="A138" s="1865"/>
      <c r="B138" s="1759">
        <v>211</v>
      </c>
      <c r="C138" s="1760" t="s">
        <v>272</v>
      </c>
      <c r="D138" s="1872">
        <v>331512</v>
      </c>
      <c r="E138" s="1872">
        <v>340099</v>
      </c>
      <c r="F138" s="1872">
        <v>338953</v>
      </c>
      <c r="G138" s="1873">
        <f>F138/E138</f>
        <v>0.9966303929150042</v>
      </c>
      <c r="H138" s="1874"/>
      <c r="I138" s="1872"/>
      <c r="J138" s="1872"/>
      <c r="K138" s="1875"/>
    </row>
    <row r="139" spans="1:11" s="1473" customFormat="1" ht="25.5">
      <c r="A139" s="1865"/>
      <c r="B139" s="1876"/>
      <c r="C139" s="637" t="s">
        <v>584</v>
      </c>
      <c r="D139" s="553"/>
      <c r="E139" s="553">
        <f>E140</f>
        <v>4000</v>
      </c>
      <c r="F139" s="553">
        <f>F140</f>
        <v>3944</v>
      </c>
      <c r="G139" s="1871">
        <f>F139/E139</f>
        <v>0.986</v>
      </c>
      <c r="H139" s="348"/>
      <c r="I139" s="553"/>
      <c r="J139" s="553"/>
      <c r="K139" s="554"/>
    </row>
    <row r="140" spans="1:11" s="719" customFormat="1" ht="38.25">
      <c r="A140" s="1865"/>
      <c r="B140" s="1759">
        <v>641</v>
      </c>
      <c r="C140" s="1760" t="s">
        <v>274</v>
      </c>
      <c r="D140" s="1872"/>
      <c r="E140" s="1872">
        <v>4000</v>
      </c>
      <c r="F140" s="1872">
        <v>3944</v>
      </c>
      <c r="G140" s="1873">
        <f>F140/E140</f>
        <v>0.986</v>
      </c>
      <c r="H140" s="1874"/>
      <c r="I140" s="1872"/>
      <c r="J140" s="1872"/>
      <c r="K140" s="1875"/>
    </row>
    <row r="141" spans="1:11" s="1473" customFormat="1" ht="18" customHeight="1">
      <c r="A141" s="1139"/>
      <c r="B141" s="1430"/>
      <c r="C141" s="1877" t="s">
        <v>650</v>
      </c>
      <c r="D141" s="1450"/>
      <c r="E141" s="1450"/>
      <c r="F141" s="1450"/>
      <c r="G141" s="1825"/>
      <c r="H141" s="1798">
        <v>233520</v>
      </c>
      <c r="I141" s="1450">
        <v>232379</v>
      </c>
      <c r="J141" s="1450">
        <v>231352</v>
      </c>
      <c r="K141" s="1451">
        <f>J141/I141</f>
        <v>0.9955804956558036</v>
      </c>
    </row>
    <row r="142" spans="1:11" ht="18" customHeight="1">
      <c r="A142" s="1139"/>
      <c r="B142" s="1139"/>
      <c r="C142" s="1870" t="s">
        <v>651</v>
      </c>
      <c r="D142" s="1162"/>
      <c r="E142" s="1162"/>
      <c r="F142" s="1162"/>
      <c r="G142" s="1804"/>
      <c r="H142" s="1415">
        <v>50772</v>
      </c>
      <c r="I142" s="1162">
        <v>74390</v>
      </c>
      <c r="J142" s="1162">
        <v>74388</v>
      </c>
      <c r="K142" s="1163">
        <v>0.9999</v>
      </c>
    </row>
    <row r="143" spans="1:11" ht="18" customHeight="1">
      <c r="A143" s="1139"/>
      <c r="B143" s="1139"/>
      <c r="C143" s="1870" t="s">
        <v>652</v>
      </c>
      <c r="D143" s="1162"/>
      <c r="E143" s="1162"/>
      <c r="F143" s="1162"/>
      <c r="G143" s="1804"/>
      <c r="H143" s="1415">
        <v>47220</v>
      </c>
      <c r="I143" s="1162">
        <v>33330</v>
      </c>
      <c r="J143" s="1162">
        <v>33213</v>
      </c>
      <c r="K143" s="1163">
        <f>J143/I143</f>
        <v>0.9964896489648964</v>
      </c>
    </row>
    <row r="144" spans="1:11" ht="18" customHeight="1">
      <c r="A144" s="1139"/>
      <c r="B144" s="1139"/>
      <c r="C144" s="1478" t="s">
        <v>624</v>
      </c>
      <c r="D144" s="1183"/>
      <c r="E144" s="1183"/>
      <c r="F144" s="1183"/>
      <c r="G144" s="1821"/>
      <c r="H144" s="1822"/>
      <c r="I144" s="1183">
        <v>4000</v>
      </c>
      <c r="J144" s="1183">
        <v>3944</v>
      </c>
      <c r="K144" s="1184">
        <f>J144/I144</f>
        <v>0.986</v>
      </c>
    </row>
    <row r="145" spans="1:11" ht="19.5" customHeight="1">
      <c r="A145" s="137">
        <v>750</v>
      </c>
      <c r="B145" s="153"/>
      <c r="C145" s="176" t="s">
        <v>336</v>
      </c>
      <c r="D145" s="396">
        <f>D146+D152</f>
        <v>899272</v>
      </c>
      <c r="E145" s="396">
        <f>E146+E152</f>
        <v>899272</v>
      </c>
      <c r="F145" s="396">
        <f>F146+F152</f>
        <v>899272</v>
      </c>
      <c r="G145" s="1857">
        <f>F145/E145</f>
        <v>1</v>
      </c>
      <c r="H145" s="395">
        <f>H146+H152</f>
        <v>899272</v>
      </c>
      <c r="I145" s="396">
        <f>I146+I152</f>
        <v>899272</v>
      </c>
      <c r="J145" s="396">
        <f>J146+J152</f>
        <v>899272</v>
      </c>
      <c r="K145" s="397">
        <f>J145/I145</f>
        <v>1</v>
      </c>
    </row>
    <row r="146" spans="1:11" ht="19.5" customHeight="1">
      <c r="A146" s="345"/>
      <c r="B146" s="340">
        <v>75011</v>
      </c>
      <c r="C146" s="399" t="s">
        <v>459</v>
      </c>
      <c r="D146" s="401">
        <f aca="true" t="shared" si="12" ref="D146:F147">D147</f>
        <v>785272</v>
      </c>
      <c r="E146" s="401">
        <f t="shared" si="12"/>
        <v>785272</v>
      </c>
      <c r="F146" s="401">
        <f t="shared" si="12"/>
        <v>785272</v>
      </c>
      <c r="G146" s="1858">
        <f>F146/E146</f>
        <v>1</v>
      </c>
      <c r="H146" s="400">
        <f>SUM(H149:H151)</f>
        <v>785272</v>
      </c>
      <c r="I146" s="401">
        <f>SUM(I149:I151)</f>
        <v>785272</v>
      </c>
      <c r="J146" s="401">
        <f>SUM(J149:J151)</f>
        <v>785272</v>
      </c>
      <c r="K146" s="402">
        <f>J146/I146</f>
        <v>1</v>
      </c>
    </row>
    <row r="147" spans="1:11" ht="25.5">
      <c r="A147" s="1865"/>
      <c r="B147" s="1878"/>
      <c r="C147" s="637" t="s">
        <v>585</v>
      </c>
      <c r="D147" s="1879">
        <f t="shared" si="12"/>
        <v>785272</v>
      </c>
      <c r="E147" s="1879">
        <f t="shared" si="12"/>
        <v>785272</v>
      </c>
      <c r="F147" s="1879">
        <f t="shared" si="12"/>
        <v>785272</v>
      </c>
      <c r="G147" s="1880">
        <f>F147/E147</f>
        <v>1</v>
      </c>
      <c r="H147" s="1881"/>
      <c r="I147" s="1879"/>
      <c r="J147" s="1879"/>
      <c r="K147" s="1882"/>
    </row>
    <row r="148" spans="1:11" s="719" customFormat="1" ht="38.25">
      <c r="A148" s="1865"/>
      <c r="B148" s="1759">
        <v>211</v>
      </c>
      <c r="C148" s="1760" t="s">
        <v>275</v>
      </c>
      <c r="D148" s="1866">
        <v>785272</v>
      </c>
      <c r="E148" s="1866">
        <v>785272</v>
      </c>
      <c r="F148" s="1866">
        <v>785272</v>
      </c>
      <c r="G148" s="1867">
        <f>F148/E148</f>
        <v>1</v>
      </c>
      <c r="H148" s="1868"/>
      <c r="I148" s="1866"/>
      <c r="J148" s="1866"/>
      <c r="K148" s="1869"/>
    </row>
    <row r="149" spans="1:11" s="694" customFormat="1" ht="18" customHeight="1">
      <c r="A149" s="1478"/>
      <c r="B149" s="1478"/>
      <c r="C149" s="1478" t="s">
        <v>650</v>
      </c>
      <c r="D149" s="1770"/>
      <c r="E149" s="1770"/>
      <c r="F149" s="1770"/>
      <c r="G149" s="1771"/>
      <c r="H149" s="1772">
        <f>580000+50000</f>
        <v>630000</v>
      </c>
      <c r="I149" s="1770">
        <f>580000+50000</f>
        <v>630000</v>
      </c>
      <c r="J149" s="1770">
        <v>630000</v>
      </c>
      <c r="K149" s="1773">
        <f>J149/I149</f>
        <v>1</v>
      </c>
    </row>
    <row r="150" spans="1:11" s="694" customFormat="1" ht="18" customHeight="1">
      <c r="A150" s="1478"/>
      <c r="B150" s="1478"/>
      <c r="C150" s="1774" t="s">
        <v>651</v>
      </c>
      <c r="D150" s="1775"/>
      <c r="E150" s="1775"/>
      <c r="F150" s="1775"/>
      <c r="G150" s="1776"/>
      <c r="H150" s="1777">
        <v>26772</v>
      </c>
      <c r="I150" s="1775">
        <v>26772</v>
      </c>
      <c r="J150" s="1775">
        <v>26772</v>
      </c>
      <c r="K150" s="1778">
        <f>J150/I150</f>
        <v>1</v>
      </c>
    </row>
    <row r="151" spans="1:11" s="694" customFormat="1" ht="18" customHeight="1">
      <c r="A151" s="1478"/>
      <c r="B151" s="1779"/>
      <c r="C151" s="1779" t="s">
        <v>652</v>
      </c>
      <c r="D151" s="1196"/>
      <c r="E151" s="1196"/>
      <c r="F151" s="1196"/>
      <c r="G151" s="1780"/>
      <c r="H151" s="1781">
        <f>113000+15500</f>
        <v>128500</v>
      </c>
      <c r="I151" s="1196">
        <f>113000+15500</f>
        <v>128500</v>
      </c>
      <c r="J151" s="1196">
        <v>128500</v>
      </c>
      <c r="K151" s="1194">
        <f>J151/I151</f>
        <v>1</v>
      </c>
    </row>
    <row r="152" spans="1:11" ht="19.5" customHeight="1">
      <c r="A152" s="345"/>
      <c r="B152" s="340">
        <v>75045</v>
      </c>
      <c r="C152" s="609" t="s">
        <v>586</v>
      </c>
      <c r="D152" s="365">
        <f aca="true" t="shared" si="13" ref="D152:F153">D153</f>
        <v>114000</v>
      </c>
      <c r="E152" s="365">
        <f t="shared" si="13"/>
        <v>114000</v>
      </c>
      <c r="F152" s="365">
        <f t="shared" si="13"/>
        <v>114000</v>
      </c>
      <c r="G152" s="1849">
        <f>F152/E152</f>
        <v>1</v>
      </c>
      <c r="H152" s="364">
        <f>H155</f>
        <v>114000</v>
      </c>
      <c r="I152" s="365">
        <f>I155</f>
        <v>114000</v>
      </c>
      <c r="J152" s="365">
        <f>J155</f>
        <v>114000</v>
      </c>
      <c r="K152" s="366">
        <f>J152/I152</f>
        <v>1</v>
      </c>
    </row>
    <row r="153" spans="1:11" ht="22.5" customHeight="1">
      <c r="A153" s="345"/>
      <c r="B153" s="403"/>
      <c r="C153" s="637" t="s">
        <v>587</v>
      </c>
      <c r="D153" s="553">
        <f t="shared" si="13"/>
        <v>114000</v>
      </c>
      <c r="E153" s="553">
        <f t="shared" si="13"/>
        <v>114000</v>
      </c>
      <c r="F153" s="553">
        <f t="shared" si="13"/>
        <v>114000</v>
      </c>
      <c r="G153" s="1871">
        <f>F153/E153</f>
        <v>1</v>
      </c>
      <c r="H153" s="348"/>
      <c r="I153" s="553"/>
      <c r="J153" s="553"/>
      <c r="K153" s="554"/>
    </row>
    <row r="154" spans="1:11" s="719" customFormat="1" ht="38.25">
      <c r="A154" s="1865"/>
      <c r="B154" s="1759">
        <v>211</v>
      </c>
      <c r="C154" s="1760" t="s">
        <v>267</v>
      </c>
      <c r="D154" s="1866">
        <v>114000</v>
      </c>
      <c r="E154" s="1866">
        <v>114000</v>
      </c>
      <c r="F154" s="1866">
        <v>114000</v>
      </c>
      <c r="G154" s="1867">
        <f>F154/E154</f>
        <v>1</v>
      </c>
      <c r="H154" s="1868"/>
      <c r="I154" s="1866"/>
      <c r="J154" s="1866"/>
      <c r="K154" s="1869"/>
    </row>
    <row r="155" spans="1:11" s="694" customFormat="1" ht="25.5">
      <c r="A155" s="1139"/>
      <c r="B155" s="1139"/>
      <c r="C155" s="122" t="s">
        <v>276</v>
      </c>
      <c r="D155" s="1162"/>
      <c r="E155" s="1162"/>
      <c r="F155" s="1162"/>
      <c r="G155" s="1804"/>
      <c r="H155" s="1415">
        <v>114000</v>
      </c>
      <c r="I155" s="1162">
        <v>114000</v>
      </c>
      <c r="J155" s="1162">
        <v>114000</v>
      </c>
      <c r="K155" s="1163">
        <f>J155/I155</f>
        <v>1</v>
      </c>
    </row>
    <row r="156" spans="1:11" ht="19.5" customHeight="1">
      <c r="A156" s="137">
        <v>754</v>
      </c>
      <c r="B156" s="153"/>
      <c r="C156" s="176" t="s">
        <v>344</v>
      </c>
      <c r="D156" s="396">
        <f>D157</f>
        <v>11302000</v>
      </c>
      <c r="E156" s="396">
        <f>E157</f>
        <v>11327000</v>
      </c>
      <c r="F156" s="396">
        <f>F157</f>
        <v>11359795</v>
      </c>
      <c r="G156" s="1857">
        <f aca="true" t="shared" si="14" ref="G156:G161">F156/E156</f>
        <v>1.00289529442924</v>
      </c>
      <c r="H156" s="395">
        <f>H157</f>
        <v>11299000</v>
      </c>
      <c r="I156" s="396">
        <f>I157</f>
        <v>11324000</v>
      </c>
      <c r="J156" s="396">
        <f>J157</f>
        <v>11324000</v>
      </c>
      <c r="K156" s="397">
        <f>J156/I156</f>
        <v>1</v>
      </c>
    </row>
    <row r="157" spans="1:11" ht="19.5" customHeight="1">
      <c r="A157" s="345"/>
      <c r="B157" s="340">
        <v>75411</v>
      </c>
      <c r="C157" s="609" t="s">
        <v>564</v>
      </c>
      <c r="D157" s="365">
        <f>D158+D160</f>
        <v>11302000</v>
      </c>
      <c r="E157" s="365">
        <f>E158+E160</f>
        <v>11327000</v>
      </c>
      <c r="F157" s="365">
        <f>F158+F160</f>
        <v>11359795</v>
      </c>
      <c r="G157" s="1849">
        <f t="shared" si="14"/>
        <v>1.00289529442924</v>
      </c>
      <c r="H157" s="364">
        <f>SUM(H162:H164)</f>
        <v>11299000</v>
      </c>
      <c r="I157" s="365">
        <f>SUM(I162:I164)</f>
        <v>11324000</v>
      </c>
      <c r="J157" s="365">
        <f>SUM(J162:J164)</f>
        <v>11324000</v>
      </c>
      <c r="K157" s="366">
        <f>J157/I157</f>
        <v>1</v>
      </c>
    </row>
    <row r="158" spans="1:11" ht="25.5">
      <c r="A158" s="1859"/>
      <c r="B158" s="1883"/>
      <c r="C158" s="638" t="s">
        <v>277</v>
      </c>
      <c r="D158" s="393">
        <f>D159</f>
        <v>11299000</v>
      </c>
      <c r="E158" s="393">
        <f>E159</f>
        <v>11324000</v>
      </c>
      <c r="F158" s="393">
        <f>F159</f>
        <v>11324000</v>
      </c>
      <c r="G158" s="1884">
        <f t="shared" si="14"/>
        <v>1</v>
      </c>
      <c r="H158" s="392"/>
      <c r="I158" s="393"/>
      <c r="J158" s="393"/>
      <c r="K158" s="394"/>
    </row>
    <row r="159" spans="1:11" s="719" customFormat="1" ht="38.25">
      <c r="A159" s="1865"/>
      <c r="B159" s="1759">
        <v>211</v>
      </c>
      <c r="C159" s="1760" t="s">
        <v>272</v>
      </c>
      <c r="D159" s="1853">
        <f>11256000+43000</f>
        <v>11299000</v>
      </c>
      <c r="E159" s="1853">
        <v>11324000</v>
      </c>
      <c r="F159" s="1853">
        <v>11324000</v>
      </c>
      <c r="G159" s="1854">
        <f t="shared" si="14"/>
        <v>1</v>
      </c>
      <c r="H159" s="1855"/>
      <c r="I159" s="1853"/>
      <c r="J159" s="1853"/>
      <c r="K159" s="1856"/>
    </row>
    <row r="160" spans="1:11" s="1473" customFormat="1" ht="18" customHeight="1">
      <c r="A160" s="607"/>
      <c r="B160" s="622"/>
      <c r="C160" s="347" t="s">
        <v>278</v>
      </c>
      <c r="D160" s="553">
        <f>D161</f>
        <v>3000</v>
      </c>
      <c r="E160" s="553">
        <f>E161</f>
        <v>3000</v>
      </c>
      <c r="F160" s="553">
        <f>F161</f>
        <v>35795</v>
      </c>
      <c r="G160" s="1871">
        <f t="shared" si="14"/>
        <v>11.931666666666667</v>
      </c>
      <c r="H160" s="348"/>
      <c r="I160" s="553"/>
      <c r="J160" s="553"/>
      <c r="K160" s="554"/>
    </row>
    <row r="161" spans="1:11" s="719" customFormat="1" ht="25.5">
      <c r="A161" s="1850"/>
      <c r="B161" s="1321">
        <v>235</v>
      </c>
      <c r="C161" s="1187" t="s">
        <v>241</v>
      </c>
      <c r="D161" s="1853">
        <v>3000</v>
      </c>
      <c r="E161" s="1853">
        <v>3000</v>
      </c>
      <c r="F161" s="1853">
        <v>35795</v>
      </c>
      <c r="G161" s="1854">
        <f t="shared" si="14"/>
        <v>11.931666666666667</v>
      </c>
      <c r="H161" s="1855"/>
      <c r="I161" s="1853"/>
      <c r="J161" s="1853"/>
      <c r="K161" s="1856"/>
    </row>
    <row r="162" spans="1:11" s="694" customFormat="1" ht="18" customHeight="1">
      <c r="A162" s="1139"/>
      <c r="B162" s="1139"/>
      <c r="C162" s="1478" t="s">
        <v>650</v>
      </c>
      <c r="D162" s="1183"/>
      <c r="E162" s="1183"/>
      <c r="F162" s="1183"/>
      <c r="G162" s="1821"/>
      <c r="H162" s="1822">
        <v>8683400</v>
      </c>
      <c r="I162" s="1183">
        <v>8468387</v>
      </c>
      <c r="J162" s="1183">
        <v>8468387</v>
      </c>
      <c r="K162" s="1184">
        <f>J162/I162</f>
        <v>1</v>
      </c>
    </row>
    <row r="163" spans="1:11" s="694" customFormat="1" ht="18" customHeight="1">
      <c r="A163" s="1139"/>
      <c r="B163" s="1139"/>
      <c r="C163" s="1774" t="s">
        <v>651</v>
      </c>
      <c r="D163" s="1165"/>
      <c r="E163" s="1165"/>
      <c r="F163" s="1165"/>
      <c r="G163" s="1823"/>
      <c r="H163" s="1824">
        <f>2409300+43000</f>
        <v>2452300</v>
      </c>
      <c r="I163" s="1165">
        <v>2674193</v>
      </c>
      <c r="J163" s="1165">
        <v>2674193</v>
      </c>
      <c r="K163" s="1166">
        <f>J163/I163</f>
        <v>1</v>
      </c>
    </row>
    <row r="164" spans="1:11" s="694" customFormat="1" ht="18" customHeight="1">
      <c r="A164" s="1169"/>
      <c r="B164" s="1169"/>
      <c r="C164" s="1779" t="s">
        <v>652</v>
      </c>
      <c r="D164" s="1190"/>
      <c r="E164" s="1190"/>
      <c r="F164" s="1190"/>
      <c r="G164" s="1794"/>
      <c r="H164" s="1795">
        <v>163300</v>
      </c>
      <c r="I164" s="1190">
        <v>181420</v>
      </c>
      <c r="J164" s="1190">
        <v>181420</v>
      </c>
      <c r="K164" s="1191">
        <f>J164/I164</f>
        <v>1</v>
      </c>
    </row>
    <row r="165" spans="1:11" ht="19.5" customHeight="1">
      <c r="A165" s="177">
        <v>851</v>
      </c>
      <c r="B165" s="58"/>
      <c r="C165" s="59" t="s">
        <v>393</v>
      </c>
      <c r="D165" s="420">
        <f>+D170</f>
        <v>2845000</v>
      </c>
      <c r="E165" s="420">
        <f>+E170+E166</f>
        <v>2891323</v>
      </c>
      <c r="F165" s="420">
        <f>+F170+F166</f>
        <v>2605163</v>
      </c>
      <c r="G165" s="1848">
        <f>F165/E165</f>
        <v>0.9010280069020307</v>
      </c>
      <c r="H165" s="421">
        <f>H170</f>
        <v>2845000</v>
      </c>
      <c r="I165" s="420">
        <f>I170+I166</f>
        <v>2891323</v>
      </c>
      <c r="J165" s="420">
        <f>J170+J166</f>
        <v>2605163</v>
      </c>
      <c r="K165" s="422">
        <f>J165/I165</f>
        <v>0.9010280069020307</v>
      </c>
    </row>
    <row r="166" spans="1:11" s="1473" customFormat="1" ht="19.5" customHeight="1">
      <c r="A166" s="604"/>
      <c r="B166" s="178">
        <v>85141</v>
      </c>
      <c r="C166" s="90" t="s">
        <v>589</v>
      </c>
      <c r="D166" s="562"/>
      <c r="E166" s="562">
        <f>E167</f>
        <v>150000</v>
      </c>
      <c r="F166" s="562">
        <f>F167</f>
        <v>150000</v>
      </c>
      <c r="G166" s="1885">
        <f>F166/E166</f>
        <v>1</v>
      </c>
      <c r="H166" s="563"/>
      <c r="I166" s="563">
        <f>I169</f>
        <v>150000</v>
      </c>
      <c r="J166" s="563">
        <f>J169</f>
        <v>150000</v>
      </c>
      <c r="K166" s="564">
        <f>J166/I166</f>
        <v>1</v>
      </c>
    </row>
    <row r="167" spans="1:11" ht="25.5" customHeight="1">
      <c r="A167" s="1865"/>
      <c r="B167" s="1212"/>
      <c r="C167" s="1164" t="s">
        <v>590</v>
      </c>
      <c r="D167" s="1886"/>
      <c r="E167" s="1886">
        <f>E168</f>
        <v>150000</v>
      </c>
      <c r="F167" s="1886">
        <f>F168</f>
        <v>150000</v>
      </c>
      <c r="G167" s="1887">
        <f>F167/E167</f>
        <v>1</v>
      </c>
      <c r="H167" s="1888"/>
      <c r="I167" s="1886"/>
      <c r="J167" s="1886"/>
      <c r="K167" s="1889"/>
    </row>
    <row r="168" spans="1:11" ht="38.25">
      <c r="A168" s="1865"/>
      <c r="B168" s="1759">
        <v>211</v>
      </c>
      <c r="C168" s="1760" t="s">
        <v>275</v>
      </c>
      <c r="D168" s="1866"/>
      <c r="E168" s="1866">
        <v>150000</v>
      </c>
      <c r="F168" s="1866">
        <v>150000</v>
      </c>
      <c r="G168" s="1867">
        <f>F168/E168</f>
        <v>1</v>
      </c>
      <c r="H168" s="1868"/>
      <c r="I168" s="1866"/>
      <c r="J168" s="1866"/>
      <c r="K168" s="1869"/>
    </row>
    <row r="169" spans="1:11" ht="27.75" customHeight="1">
      <c r="A169" s="1865"/>
      <c r="B169" s="1890"/>
      <c r="C169" s="367" t="s">
        <v>815</v>
      </c>
      <c r="D169" s="393"/>
      <c r="E169" s="393"/>
      <c r="F169" s="393"/>
      <c r="G169" s="1884"/>
      <c r="H169" s="392"/>
      <c r="I169" s="393">
        <v>150000</v>
      </c>
      <c r="J169" s="393">
        <v>150000</v>
      </c>
      <c r="K169" s="394">
        <f>J169/I169</f>
        <v>1</v>
      </c>
    </row>
    <row r="170" spans="1:11" ht="27.75" customHeight="1">
      <c r="A170" s="339"/>
      <c r="B170" s="340">
        <v>85156</v>
      </c>
      <c r="C170" s="609" t="s">
        <v>591</v>
      </c>
      <c r="D170" s="365">
        <f>D171+D173</f>
        <v>2845000</v>
      </c>
      <c r="E170" s="365">
        <f>E171+E173</f>
        <v>2741323</v>
      </c>
      <c r="F170" s="365">
        <f>F171+F173</f>
        <v>2455163</v>
      </c>
      <c r="G170" s="1849">
        <f>F170/E170</f>
        <v>0.895612446982716</v>
      </c>
      <c r="H170" s="364">
        <f>SUM(H175:H176)</f>
        <v>2845000</v>
      </c>
      <c r="I170" s="365">
        <f>SUM(I175:I176)</f>
        <v>2741323</v>
      </c>
      <c r="J170" s="365">
        <f>SUM(J175:J176)</f>
        <v>2455163</v>
      </c>
      <c r="K170" s="366">
        <f>J170/I170</f>
        <v>0.895612446982716</v>
      </c>
    </row>
    <row r="171" spans="1:11" ht="25.5" customHeight="1">
      <c r="A171" s="1865"/>
      <c r="B171" s="1212"/>
      <c r="C171" s="1164" t="s">
        <v>279</v>
      </c>
      <c r="D171" s="1886">
        <f>D172</f>
        <v>113000</v>
      </c>
      <c r="E171" s="1886">
        <f>E172</f>
        <v>109323</v>
      </c>
      <c r="F171" s="1886">
        <f>F172</f>
        <v>109287</v>
      </c>
      <c r="G171" s="1887">
        <f>F171/E171</f>
        <v>0.9996707005845065</v>
      </c>
      <c r="H171" s="1888"/>
      <c r="I171" s="1886"/>
      <c r="J171" s="1886"/>
      <c r="K171" s="1889"/>
    </row>
    <row r="172" spans="1:11" ht="38.25">
      <c r="A172" s="1865"/>
      <c r="B172" s="1759">
        <v>211</v>
      </c>
      <c r="C172" s="1760" t="s">
        <v>275</v>
      </c>
      <c r="D172" s="1866">
        <v>113000</v>
      </c>
      <c r="E172" s="1866">
        <v>109323</v>
      </c>
      <c r="F172" s="1866">
        <v>109287</v>
      </c>
      <c r="G172" s="1867">
        <f>F172/E172</f>
        <v>0.9996707005845065</v>
      </c>
      <c r="H172" s="1868"/>
      <c r="I172" s="1866"/>
      <c r="J172" s="1866"/>
      <c r="K172" s="1869"/>
    </row>
    <row r="173" spans="1:11" ht="25.5">
      <c r="A173" s="1865"/>
      <c r="B173" s="1212"/>
      <c r="C173" s="623" t="s">
        <v>280</v>
      </c>
      <c r="D173" s="651">
        <f>D174</f>
        <v>2732000</v>
      </c>
      <c r="E173" s="651">
        <f>E174</f>
        <v>2632000</v>
      </c>
      <c r="F173" s="651">
        <f>F174</f>
        <v>2345876</v>
      </c>
      <c r="G173" s="1851">
        <f>F173/E173</f>
        <v>0.891290273556231</v>
      </c>
      <c r="H173" s="650"/>
      <c r="I173" s="651"/>
      <c r="J173" s="651"/>
      <c r="K173" s="1852"/>
    </row>
    <row r="174" spans="1:11" ht="38.25">
      <c r="A174" s="1865"/>
      <c r="B174" s="1759">
        <v>211</v>
      </c>
      <c r="C174" s="1760" t="s">
        <v>272</v>
      </c>
      <c r="D174" s="1866">
        <v>2732000</v>
      </c>
      <c r="E174" s="1866">
        <v>2632000</v>
      </c>
      <c r="F174" s="1866">
        <v>2345876</v>
      </c>
      <c r="G174" s="1867">
        <f>F174/E174</f>
        <v>0.891290273556231</v>
      </c>
      <c r="H174" s="1891"/>
      <c r="I174" s="1892"/>
      <c r="J174" s="1892"/>
      <c r="K174" s="1893"/>
    </row>
    <row r="175" spans="1:11" s="694" customFormat="1" ht="25.5">
      <c r="A175" s="607"/>
      <c r="B175" s="622"/>
      <c r="C175" s="93" t="s">
        <v>281</v>
      </c>
      <c r="D175" s="1450"/>
      <c r="E175" s="1450"/>
      <c r="F175" s="1450"/>
      <c r="G175" s="1825"/>
      <c r="H175" s="1798">
        <v>113000</v>
      </c>
      <c r="I175" s="1450">
        <v>109323</v>
      </c>
      <c r="J175" s="1450">
        <v>109287</v>
      </c>
      <c r="K175" s="1451">
        <f>J175/I175</f>
        <v>0.9996707005845065</v>
      </c>
    </row>
    <row r="176" spans="1:11" s="694" customFormat="1" ht="28.5" customHeight="1">
      <c r="A176" s="1894"/>
      <c r="B176" s="629"/>
      <c r="C176" s="173" t="s">
        <v>817</v>
      </c>
      <c r="D176" s="1190"/>
      <c r="E176" s="1190"/>
      <c r="F176" s="1190"/>
      <c r="G176" s="1794"/>
      <c r="H176" s="1795">
        <v>2732000</v>
      </c>
      <c r="I176" s="1190">
        <v>2632000</v>
      </c>
      <c r="J176" s="1190">
        <v>2345876</v>
      </c>
      <c r="K176" s="1191">
        <f>J176/I176</f>
        <v>0.891290273556231</v>
      </c>
    </row>
    <row r="177" spans="1:11" ht="19.5" customHeight="1">
      <c r="A177" s="137">
        <v>853</v>
      </c>
      <c r="B177" s="153"/>
      <c r="C177" s="176" t="s">
        <v>395</v>
      </c>
      <c r="D177" s="396">
        <f>D178+D185+D189+D196+D200+D206</f>
        <v>4011000</v>
      </c>
      <c r="E177" s="396">
        <f>E178+E185+E189+E196+E200+E206</f>
        <v>4067243</v>
      </c>
      <c r="F177" s="396">
        <f>F178+F185+F189+F196+F200+F206</f>
        <v>4068522</v>
      </c>
      <c r="G177" s="1857">
        <f aca="true" t="shared" si="15" ref="G177:G182">F177/E177</f>
        <v>1.0003144636305232</v>
      </c>
      <c r="H177" s="395">
        <f>H178+H185+H189+H196+H200</f>
        <v>3983000</v>
      </c>
      <c r="I177" s="396">
        <f>I178+I185+I189+I196+I200+I206</f>
        <v>4039243</v>
      </c>
      <c r="J177" s="396">
        <f>J178+J185+J189+J196+J200+J206</f>
        <v>4036333</v>
      </c>
      <c r="K177" s="397">
        <f>J177/I177</f>
        <v>0.9992795679784554</v>
      </c>
    </row>
    <row r="178" spans="1:11" s="1473" customFormat="1" ht="19.5" customHeight="1">
      <c r="A178" s="604"/>
      <c r="B178" s="178">
        <v>85303</v>
      </c>
      <c r="C178" s="90" t="s">
        <v>396</v>
      </c>
      <c r="D178" s="562">
        <f>D179+D181</f>
        <v>1612000</v>
      </c>
      <c r="E178" s="562">
        <f>E179+E181</f>
        <v>1676722</v>
      </c>
      <c r="F178" s="562">
        <f>F179+F181</f>
        <v>1680911</v>
      </c>
      <c r="G178" s="1885">
        <f t="shared" si="15"/>
        <v>1.0024983270929826</v>
      </c>
      <c r="H178" s="563">
        <f>SUM(H183:H184)</f>
        <v>1584000</v>
      </c>
      <c r="I178" s="563">
        <f>SUM(I183:I184)</f>
        <v>1648722</v>
      </c>
      <c r="J178" s="563">
        <f>SUM(J183:J184)</f>
        <v>1648722</v>
      </c>
      <c r="K178" s="564">
        <f>J178/I178</f>
        <v>1</v>
      </c>
    </row>
    <row r="179" spans="1:11" ht="25.5">
      <c r="A179" s="345"/>
      <c r="B179" s="238"/>
      <c r="C179" s="122" t="s">
        <v>282</v>
      </c>
      <c r="D179" s="215">
        <f>D180</f>
        <v>1584000</v>
      </c>
      <c r="E179" s="215">
        <f>E180</f>
        <v>1648722</v>
      </c>
      <c r="F179" s="215">
        <f>F180</f>
        <v>1648722</v>
      </c>
      <c r="G179" s="1895">
        <f t="shared" si="15"/>
        <v>1</v>
      </c>
      <c r="H179" s="207"/>
      <c r="I179" s="215"/>
      <c r="J179" s="215"/>
      <c r="K179" s="216"/>
    </row>
    <row r="180" spans="1:11" s="719" customFormat="1" ht="38.25">
      <c r="A180" s="1865"/>
      <c r="B180" s="1759">
        <v>211</v>
      </c>
      <c r="C180" s="1760" t="s">
        <v>272</v>
      </c>
      <c r="D180" s="1866">
        <v>1584000</v>
      </c>
      <c r="E180" s="1866">
        <v>1648722</v>
      </c>
      <c r="F180" s="1866">
        <v>1648722</v>
      </c>
      <c r="G180" s="1867">
        <f t="shared" si="15"/>
        <v>1</v>
      </c>
      <c r="H180" s="1868"/>
      <c r="I180" s="1866"/>
      <c r="J180" s="1866"/>
      <c r="K180" s="1869"/>
    </row>
    <row r="181" spans="1:11" ht="19.5" customHeight="1">
      <c r="A181" s="1217"/>
      <c r="B181" s="1217"/>
      <c r="C181" s="1434" t="s">
        <v>530</v>
      </c>
      <c r="D181" s="1162">
        <f>D182</f>
        <v>28000</v>
      </c>
      <c r="E181" s="1162">
        <f>E182</f>
        <v>28000</v>
      </c>
      <c r="F181" s="1162">
        <f>F182</f>
        <v>32189</v>
      </c>
      <c r="G181" s="1804">
        <f t="shared" si="15"/>
        <v>1.1496071428571428</v>
      </c>
      <c r="H181" s="1415"/>
      <c r="I181" s="1162"/>
      <c r="J181" s="1162"/>
      <c r="K181" s="1163"/>
    </row>
    <row r="182" spans="1:11" s="719" customFormat="1" ht="25.5">
      <c r="A182" s="1217"/>
      <c r="B182" s="1321">
        <v>235</v>
      </c>
      <c r="C182" s="1170" t="s">
        <v>241</v>
      </c>
      <c r="D182" s="1805">
        <v>28000</v>
      </c>
      <c r="E182" s="1805">
        <v>28000</v>
      </c>
      <c r="F182" s="1805">
        <v>32189</v>
      </c>
      <c r="G182" s="1806">
        <f t="shared" si="15"/>
        <v>1.1496071428571428</v>
      </c>
      <c r="H182" s="1807"/>
      <c r="I182" s="1805"/>
      <c r="J182" s="1805"/>
      <c r="K182" s="1808"/>
    </row>
    <row r="183" spans="1:11" s="694" customFormat="1" ht="25.5">
      <c r="A183" s="607"/>
      <c r="B183" s="622"/>
      <c r="C183" s="347" t="s">
        <v>283</v>
      </c>
      <c r="D183" s="1450"/>
      <c r="E183" s="1450"/>
      <c r="F183" s="1450"/>
      <c r="G183" s="1825"/>
      <c r="H183" s="1798">
        <v>720000</v>
      </c>
      <c r="I183" s="1450">
        <v>750000</v>
      </c>
      <c r="J183" s="1450">
        <v>750000</v>
      </c>
      <c r="K183" s="1451">
        <f>J183/I183</f>
        <v>1</v>
      </c>
    </row>
    <row r="184" spans="1:11" s="694" customFormat="1" ht="25.5">
      <c r="A184" s="607"/>
      <c r="B184" s="629"/>
      <c r="C184" s="353" t="s">
        <v>819</v>
      </c>
      <c r="D184" s="1190"/>
      <c r="E184" s="1190"/>
      <c r="F184" s="1190"/>
      <c r="G184" s="1794"/>
      <c r="H184" s="1795">
        <v>864000</v>
      </c>
      <c r="I184" s="1190">
        <v>898722</v>
      </c>
      <c r="J184" s="1190">
        <v>898722</v>
      </c>
      <c r="K184" s="1191">
        <f>J184/I184</f>
        <v>1</v>
      </c>
    </row>
    <row r="185" spans="1:11" ht="19.5" customHeight="1">
      <c r="A185" s="345"/>
      <c r="B185" s="66">
        <v>85316</v>
      </c>
      <c r="C185" s="609" t="s">
        <v>481</v>
      </c>
      <c r="D185" s="365">
        <f aca="true" t="shared" si="16" ref="D185:F186">D186</f>
        <v>40000</v>
      </c>
      <c r="E185" s="365">
        <f t="shared" si="16"/>
        <v>25500</v>
      </c>
      <c r="F185" s="365">
        <f t="shared" si="16"/>
        <v>25178</v>
      </c>
      <c r="G185" s="1849">
        <f>F185/E185</f>
        <v>0.9873725490196078</v>
      </c>
      <c r="H185" s="364">
        <f>H188</f>
        <v>40000</v>
      </c>
      <c r="I185" s="364">
        <f>I188</f>
        <v>25500</v>
      </c>
      <c r="J185" s="364">
        <f>J188</f>
        <v>25178</v>
      </c>
      <c r="K185" s="366">
        <f>J185/I185</f>
        <v>0.9873725490196078</v>
      </c>
    </row>
    <row r="186" spans="1:11" ht="25.5">
      <c r="A186" s="1865"/>
      <c r="B186" s="1802"/>
      <c r="C186" s="1445" t="s">
        <v>595</v>
      </c>
      <c r="D186" s="651">
        <f t="shared" si="16"/>
        <v>40000</v>
      </c>
      <c r="E186" s="651">
        <f t="shared" si="16"/>
        <v>25500</v>
      </c>
      <c r="F186" s="651">
        <f t="shared" si="16"/>
        <v>25178</v>
      </c>
      <c r="G186" s="1851">
        <f>F186/E186</f>
        <v>0.9873725490196078</v>
      </c>
      <c r="H186" s="650"/>
      <c r="I186" s="651"/>
      <c r="J186" s="651"/>
      <c r="K186" s="1852"/>
    </row>
    <row r="187" spans="1:11" s="719" customFormat="1" ht="38.25">
      <c r="A187" s="1865"/>
      <c r="B187" s="1759">
        <v>211</v>
      </c>
      <c r="C187" s="1760" t="s">
        <v>272</v>
      </c>
      <c r="D187" s="1866">
        <v>40000</v>
      </c>
      <c r="E187" s="1866">
        <v>25500</v>
      </c>
      <c r="F187" s="1866">
        <v>25178</v>
      </c>
      <c r="G187" s="1867">
        <f>F187/E187</f>
        <v>0.9873725490196078</v>
      </c>
      <c r="H187" s="1868"/>
      <c r="I187" s="1866"/>
      <c r="J187" s="1866"/>
      <c r="K187" s="1869"/>
    </row>
    <row r="188" spans="1:11" s="694" customFormat="1" ht="18" customHeight="1">
      <c r="A188" s="351"/>
      <c r="B188" s="51"/>
      <c r="C188" s="1169" t="s">
        <v>820</v>
      </c>
      <c r="D188" s="1190"/>
      <c r="E188" s="1190"/>
      <c r="F188" s="1190"/>
      <c r="G188" s="1794"/>
      <c r="H188" s="1795">
        <v>40000</v>
      </c>
      <c r="I188" s="1190">
        <v>25500</v>
      </c>
      <c r="J188" s="1190">
        <v>25178</v>
      </c>
      <c r="K188" s="1191">
        <f>J188/I188</f>
        <v>0.9873725490196078</v>
      </c>
    </row>
    <row r="189" spans="1:11" ht="19.5" customHeight="1">
      <c r="A189" s="345"/>
      <c r="B189" s="340">
        <v>85321</v>
      </c>
      <c r="C189" s="609" t="s">
        <v>596</v>
      </c>
      <c r="D189" s="365">
        <f>D190+D192</f>
        <v>350000</v>
      </c>
      <c r="E189" s="365">
        <f>E190+E192</f>
        <v>381200</v>
      </c>
      <c r="F189" s="365">
        <f>F190+F192</f>
        <v>381171</v>
      </c>
      <c r="G189" s="1849">
        <f>F189/E189</f>
        <v>0.999923924449108</v>
      </c>
      <c r="H189" s="364">
        <f>SUM(H194:H195)</f>
        <v>350000</v>
      </c>
      <c r="I189" s="364">
        <f>SUM(I194:I195)</f>
        <v>381200</v>
      </c>
      <c r="J189" s="364">
        <f>J194+J195</f>
        <v>381171</v>
      </c>
      <c r="K189" s="366">
        <f>J189/I189</f>
        <v>0.999923924449108</v>
      </c>
    </row>
    <row r="190" spans="1:11" ht="25.5">
      <c r="A190" s="1865"/>
      <c r="B190" s="1878"/>
      <c r="C190" s="637" t="s">
        <v>284</v>
      </c>
      <c r="D190" s="553">
        <f>D191</f>
        <v>340000</v>
      </c>
      <c r="E190" s="553">
        <f>E191</f>
        <v>371200</v>
      </c>
      <c r="F190" s="553">
        <f>F191</f>
        <v>371200</v>
      </c>
      <c r="G190" s="1871">
        <f>F190/E190</f>
        <v>1</v>
      </c>
      <c r="H190" s="348"/>
      <c r="I190" s="553"/>
      <c r="J190" s="553"/>
      <c r="K190" s="554"/>
    </row>
    <row r="191" spans="1:11" s="719" customFormat="1" ht="38.25">
      <c r="A191" s="1865"/>
      <c r="B191" s="1759">
        <v>211</v>
      </c>
      <c r="C191" s="1760" t="s">
        <v>267</v>
      </c>
      <c r="D191" s="1866">
        <v>340000</v>
      </c>
      <c r="E191" s="1866">
        <v>371200</v>
      </c>
      <c r="F191" s="1866">
        <v>371200</v>
      </c>
      <c r="G191" s="1867">
        <f>F191/E191</f>
        <v>1</v>
      </c>
      <c r="H191" s="1868"/>
      <c r="I191" s="1866"/>
      <c r="J191" s="1866"/>
      <c r="K191" s="1869"/>
    </row>
    <row r="192" spans="1:11" ht="25.5">
      <c r="A192" s="1865"/>
      <c r="B192" s="1878"/>
      <c r="C192" s="637" t="s">
        <v>285</v>
      </c>
      <c r="D192" s="553">
        <f>D193</f>
        <v>10000</v>
      </c>
      <c r="E192" s="553">
        <f>E193</f>
        <v>10000</v>
      </c>
      <c r="F192" s="553">
        <f>F193</f>
        <v>9971</v>
      </c>
      <c r="G192" s="1871">
        <f>F192/E192</f>
        <v>0.9971</v>
      </c>
      <c r="H192" s="348"/>
      <c r="I192" s="553"/>
      <c r="J192" s="553"/>
      <c r="K192" s="554"/>
    </row>
    <row r="193" spans="1:11" s="719" customFormat="1" ht="38.25">
      <c r="A193" s="1865"/>
      <c r="B193" s="1759">
        <v>641</v>
      </c>
      <c r="C193" s="1760" t="s">
        <v>274</v>
      </c>
      <c r="D193" s="1866">
        <v>10000</v>
      </c>
      <c r="E193" s="1866">
        <v>10000</v>
      </c>
      <c r="F193" s="1866">
        <v>9971</v>
      </c>
      <c r="G193" s="1867">
        <f>F193/E193</f>
        <v>0.9971</v>
      </c>
      <c r="H193" s="1868"/>
      <c r="I193" s="1866"/>
      <c r="J193" s="1866"/>
      <c r="K193" s="1869"/>
    </row>
    <row r="194" spans="1:11" s="694" customFormat="1" ht="25.5">
      <c r="A194" s="1139"/>
      <c r="B194" s="1139"/>
      <c r="C194" s="623" t="s">
        <v>710</v>
      </c>
      <c r="D194" s="1162"/>
      <c r="E194" s="1162"/>
      <c r="F194" s="1162"/>
      <c r="G194" s="1804"/>
      <c r="H194" s="1415">
        <f>340000</f>
        <v>340000</v>
      </c>
      <c r="I194" s="1162">
        <v>371200</v>
      </c>
      <c r="J194" s="1162">
        <v>371200</v>
      </c>
      <c r="K194" s="1163">
        <f>J194/I194</f>
        <v>1</v>
      </c>
    </row>
    <row r="195" spans="1:11" s="694" customFormat="1" ht="25.5">
      <c r="A195" s="1139"/>
      <c r="B195" s="1139"/>
      <c r="C195" s="1182" t="s">
        <v>286</v>
      </c>
      <c r="D195" s="1183"/>
      <c r="E195" s="1183"/>
      <c r="F195" s="1183"/>
      <c r="G195" s="1821"/>
      <c r="H195" s="1822">
        <v>10000</v>
      </c>
      <c r="I195" s="1183">
        <v>10000</v>
      </c>
      <c r="J195" s="1183">
        <v>9971</v>
      </c>
      <c r="K195" s="1184">
        <f>J195/I195</f>
        <v>0.9971</v>
      </c>
    </row>
    <row r="196" spans="1:11" ht="21.75" customHeight="1">
      <c r="A196" s="1139"/>
      <c r="B196" s="1223">
        <v>85331</v>
      </c>
      <c r="C196" s="399" t="s">
        <v>599</v>
      </c>
      <c r="D196" s="1225">
        <f aca="true" t="shared" si="17" ref="D196:F197">D197</f>
        <v>257000</v>
      </c>
      <c r="E196" s="1225">
        <f t="shared" si="17"/>
        <v>61378</v>
      </c>
      <c r="F196" s="1225">
        <f t="shared" si="17"/>
        <v>58823</v>
      </c>
      <c r="G196" s="1896">
        <f>F196/E196</f>
        <v>0.9583727068330672</v>
      </c>
      <c r="H196" s="1897">
        <f>H199</f>
        <v>257000</v>
      </c>
      <c r="I196" s="1897">
        <f>I199</f>
        <v>61378</v>
      </c>
      <c r="J196" s="1897">
        <f>J199</f>
        <v>58823</v>
      </c>
      <c r="K196" s="1226">
        <f>J196/I196</f>
        <v>0.9583727068330672</v>
      </c>
    </row>
    <row r="197" spans="1:11" ht="25.5">
      <c r="A197" s="1139"/>
      <c r="B197" s="662"/>
      <c r="C197" s="347" t="s">
        <v>600</v>
      </c>
      <c r="D197" s="1450">
        <f t="shared" si="17"/>
        <v>257000</v>
      </c>
      <c r="E197" s="1450">
        <f t="shared" si="17"/>
        <v>61378</v>
      </c>
      <c r="F197" s="1450">
        <f t="shared" si="17"/>
        <v>58823</v>
      </c>
      <c r="G197" s="1898">
        <f>F197/E197</f>
        <v>0.9583727068330672</v>
      </c>
      <c r="H197" s="1899"/>
      <c r="I197" s="1900"/>
      <c r="J197" s="1900"/>
      <c r="K197" s="1901"/>
    </row>
    <row r="198" spans="1:11" ht="38.25">
      <c r="A198" s="1865"/>
      <c r="B198" s="1759">
        <v>211</v>
      </c>
      <c r="C198" s="1760" t="s">
        <v>287</v>
      </c>
      <c r="D198" s="1866">
        <v>257000</v>
      </c>
      <c r="E198" s="1866">
        <v>61378</v>
      </c>
      <c r="F198" s="1866">
        <v>58823</v>
      </c>
      <c r="G198" s="1867">
        <f>F198/E198</f>
        <v>0.9583727068330672</v>
      </c>
      <c r="H198" s="1891"/>
      <c r="I198" s="1892"/>
      <c r="J198" s="1892"/>
      <c r="K198" s="1893"/>
    </row>
    <row r="199" spans="1:11" s="694" customFormat="1" ht="25.5">
      <c r="A199" s="1139"/>
      <c r="B199" s="1139"/>
      <c r="C199" s="1182" t="s">
        <v>822</v>
      </c>
      <c r="D199" s="1183"/>
      <c r="E199" s="1183"/>
      <c r="F199" s="1183"/>
      <c r="G199" s="1821"/>
      <c r="H199" s="1822">
        <v>257000</v>
      </c>
      <c r="I199" s="1183">
        <v>61378</v>
      </c>
      <c r="J199" s="1183">
        <v>58823</v>
      </c>
      <c r="K199" s="1153">
        <f>J199/I199</f>
        <v>0.9583727068330672</v>
      </c>
    </row>
    <row r="200" spans="1:11" ht="19.5" customHeight="1">
      <c r="A200" s="345"/>
      <c r="B200" s="358">
        <v>85333</v>
      </c>
      <c r="C200" s="358" t="s">
        <v>528</v>
      </c>
      <c r="D200" s="360">
        <f aca="true" t="shared" si="18" ref="D200:F201">D201</f>
        <v>1752000</v>
      </c>
      <c r="E200" s="360">
        <f t="shared" si="18"/>
        <v>1829572</v>
      </c>
      <c r="F200" s="360">
        <f t="shared" si="18"/>
        <v>1829572</v>
      </c>
      <c r="G200" s="1902">
        <f>F200/E200</f>
        <v>1</v>
      </c>
      <c r="H200" s="359">
        <f>SUM(H203:H205)</f>
        <v>1752000</v>
      </c>
      <c r="I200" s="359">
        <f>SUM(I203:I205)</f>
        <v>1829572</v>
      </c>
      <c r="J200" s="359">
        <f>SUM(J203:J205)</f>
        <v>1829572</v>
      </c>
      <c r="K200" s="361">
        <f>J200/I200</f>
        <v>1</v>
      </c>
    </row>
    <row r="201" spans="1:11" ht="25.5">
      <c r="A201" s="1865"/>
      <c r="B201" s="1876"/>
      <c r="C201" s="347" t="s">
        <v>558</v>
      </c>
      <c r="D201" s="553">
        <f t="shared" si="18"/>
        <v>1752000</v>
      </c>
      <c r="E201" s="553">
        <f t="shared" si="18"/>
        <v>1829572</v>
      </c>
      <c r="F201" s="553">
        <f t="shared" si="18"/>
        <v>1829572</v>
      </c>
      <c r="G201" s="1871">
        <f>F201/E201</f>
        <v>1</v>
      </c>
      <c r="H201" s="348"/>
      <c r="I201" s="553"/>
      <c r="J201" s="553"/>
      <c r="K201" s="554"/>
    </row>
    <row r="202" spans="1:11" ht="38.25">
      <c r="A202" s="1865"/>
      <c r="B202" s="1759">
        <v>211</v>
      </c>
      <c r="C202" s="1760" t="s">
        <v>272</v>
      </c>
      <c r="D202" s="1866">
        <v>1752000</v>
      </c>
      <c r="E202" s="1866">
        <v>1829572</v>
      </c>
      <c r="F202" s="1866">
        <v>1829572</v>
      </c>
      <c r="G202" s="1867">
        <f>F202/E202</f>
        <v>1</v>
      </c>
      <c r="H202" s="1891"/>
      <c r="I202" s="1892"/>
      <c r="J202" s="1892"/>
      <c r="K202" s="1893"/>
    </row>
    <row r="203" spans="1:11" s="694" customFormat="1" ht="18" customHeight="1">
      <c r="A203" s="1139"/>
      <c r="B203" s="1139"/>
      <c r="C203" s="1832" t="s">
        <v>650</v>
      </c>
      <c r="D203" s="1438"/>
      <c r="E203" s="1438"/>
      <c r="F203" s="1438"/>
      <c r="G203" s="1833"/>
      <c r="H203" s="1834">
        <v>1186140</v>
      </c>
      <c r="I203" s="1438">
        <v>1250012</v>
      </c>
      <c r="J203" s="1438">
        <v>1250012</v>
      </c>
      <c r="K203" s="1439">
        <f>J203/I203</f>
        <v>1</v>
      </c>
    </row>
    <row r="204" spans="1:11" s="694" customFormat="1" ht="18" customHeight="1">
      <c r="A204" s="1139"/>
      <c r="B204" s="1139"/>
      <c r="C204" s="1416" t="s">
        <v>651</v>
      </c>
      <c r="D204" s="1165"/>
      <c r="E204" s="1165"/>
      <c r="F204" s="1165"/>
      <c r="G204" s="1823"/>
      <c r="H204" s="1824">
        <v>324860</v>
      </c>
      <c r="I204" s="1165">
        <v>346554</v>
      </c>
      <c r="J204" s="1165">
        <v>346554</v>
      </c>
      <c r="K204" s="1166">
        <f>J204/I204</f>
        <v>1</v>
      </c>
    </row>
    <row r="205" spans="1:11" s="694" customFormat="1" ht="18" customHeight="1">
      <c r="A205" s="1139"/>
      <c r="B205" s="1139"/>
      <c r="C205" s="1139" t="s">
        <v>652</v>
      </c>
      <c r="D205" s="1183"/>
      <c r="E205" s="1183"/>
      <c r="F205" s="1183"/>
      <c r="G205" s="1821"/>
      <c r="H205" s="1822">
        <v>241000</v>
      </c>
      <c r="I205" s="1183">
        <v>233006</v>
      </c>
      <c r="J205" s="1183">
        <v>233006</v>
      </c>
      <c r="K205" s="1184">
        <f>J205/I205</f>
        <v>1</v>
      </c>
    </row>
    <row r="206" spans="1:11" s="714" customFormat="1" ht="19.5" customHeight="1">
      <c r="A206" s="429"/>
      <c r="B206" s="1223">
        <v>85334</v>
      </c>
      <c r="C206" s="1903" t="s">
        <v>486</v>
      </c>
      <c r="D206" s="1225"/>
      <c r="E206" s="1225">
        <f>SUM(E207)</f>
        <v>92871</v>
      </c>
      <c r="F206" s="1225">
        <f>SUM(F207)</f>
        <v>92867</v>
      </c>
      <c r="G206" s="1896">
        <v>0.9999</v>
      </c>
      <c r="H206" s="1897"/>
      <c r="I206" s="1225">
        <f>I207+I209</f>
        <v>92871</v>
      </c>
      <c r="J206" s="1225">
        <f>J207+J209</f>
        <v>92867</v>
      </c>
      <c r="K206" s="1226">
        <v>0.9999</v>
      </c>
    </row>
    <row r="207" spans="1:11" s="694" customFormat="1" ht="19.5" customHeight="1">
      <c r="A207" s="1904"/>
      <c r="B207" s="1430"/>
      <c r="C207" s="734" t="s">
        <v>487</v>
      </c>
      <c r="D207" s="1183"/>
      <c r="E207" s="1183">
        <f>SUM(E208)</f>
        <v>92871</v>
      </c>
      <c r="F207" s="1183">
        <f>SUM(F208)</f>
        <v>92867</v>
      </c>
      <c r="G207" s="1825">
        <v>0.9999</v>
      </c>
      <c r="H207" s="1822"/>
      <c r="I207" s="1183"/>
      <c r="J207" s="1183"/>
      <c r="K207" s="1184"/>
    </row>
    <row r="208" spans="1:11" s="1907" customFormat="1" ht="39" customHeight="1">
      <c r="A208" s="1905"/>
      <c r="B208" s="1187">
        <v>211</v>
      </c>
      <c r="C208" s="1906" t="s">
        <v>287</v>
      </c>
      <c r="D208" s="1866"/>
      <c r="E208" s="1866">
        <v>92871</v>
      </c>
      <c r="F208" s="1866">
        <v>92867</v>
      </c>
      <c r="G208" s="1836">
        <v>0.9999</v>
      </c>
      <c r="H208" s="1868"/>
      <c r="I208" s="1866"/>
      <c r="J208" s="1866"/>
      <c r="K208" s="1869"/>
    </row>
    <row r="209" spans="1:11" s="694" customFormat="1" ht="19.5" customHeight="1">
      <c r="A209" s="1139"/>
      <c r="B209" s="1139"/>
      <c r="C209" s="1436" t="s">
        <v>806</v>
      </c>
      <c r="D209" s="1190"/>
      <c r="E209" s="1190"/>
      <c r="F209" s="1190"/>
      <c r="G209" s="1794"/>
      <c r="H209" s="1795"/>
      <c r="I209" s="1190">
        <v>92871</v>
      </c>
      <c r="J209" s="1190">
        <v>92867</v>
      </c>
      <c r="K209" s="1191">
        <v>0.9999</v>
      </c>
    </row>
    <row r="210" spans="1:11" ht="26.25" customHeight="1">
      <c r="A210" s="1904"/>
      <c r="B210" s="1139"/>
      <c r="C210" s="1908" t="s">
        <v>288</v>
      </c>
      <c r="D210" s="1139"/>
      <c r="E210" s="1139"/>
      <c r="F210" s="1139"/>
      <c r="G210" s="1821"/>
      <c r="H210" s="1909"/>
      <c r="I210" s="1139"/>
      <c r="J210" s="1139"/>
      <c r="K210" s="1184"/>
    </row>
    <row r="211" spans="1:11" ht="37.5" customHeight="1" thickBot="1">
      <c r="A211" s="351"/>
      <c r="B211" s="352"/>
      <c r="C211" s="1910" t="s">
        <v>289</v>
      </c>
      <c r="D211" s="1911">
        <f>D212+D225+D232+D243+D254+D263+D271</f>
        <v>3750</v>
      </c>
      <c r="E211" s="1911">
        <f>E212+E225+E232+E243+E254+E263+E271</f>
        <v>3750</v>
      </c>
      <c r="F211" s="1911">
        <f>F212+F225+F232+F243+F254+F263+F271</f>
        <v>3750</v>
      </c>
      <c r="G211" s="1912">
        <f>F211/E211</f>
        <v>1</v>
      </c>
      <c r="H211" s="1913">
        <f aca="true" t="shared" si="19" ref="H211:J212">H212</f>
        <v>3750</v>
      </c>
      <c r="I211" s="1911">
        <f t="shared" si="19"/>
        <v>3750</v>
      </c>
      <c r="J211" s="1911">
        <f t="shared" si="19"/>
        <v>3750</v>
      </c>
      <c r="K211" s="1914">
        <f>J211/I211</f>
        <v>1</v>
      </c>
    </row>
    <row r="212" spans="1:11" ht="19.5" customHeight="1" thickTop="1">
      <c r="A212" s="615" t="s">
        <v>311</v>
      </c>
      <c r="B212" s="615"/>
      <c r="C212" s="59" t="s">
        <v>312</v>
      </c>
      <c r="D212" s="420">
        <f aca="true" t="shared" si="20" ref="D212:F214">D213</f>
        <v>3750</v>
      </c>
      <c r="E212" s="420">
        <f t="shared" si="20"/>
        <v>3750</v>
      </c>
      <c r="F212" s="420">
        <f t="shared" si="20"/>
        <v>3750</v>
      </c>
      <c r="G212" s="1848">
        <f>F212/E212</f>
        <v>1</v>
      </c>
      <c r="H212" s="421">
        <f t="shared" si="19"/>
        <v>3750</v>
      </c>
      <c r="I212" s="420">
        <f t="shared" si="19"/>
        <v>3750</v>
      </c>
      <c r="J212" s="420">
        <f t="shared" si="19"/>
        <v>3750</v>
      </c>
      <c r="K212" s="422">
        <f>J212/I212</f>
        <v>1</v>
      </c>
    </row>
    <row r="213" spans="1:11" s="805" customFormat="1" ht="19.5" customHeight="1">
      <c r="A213" s="1915"/>
      <c r="B213" s="1916" t="s">
        <v>492</v>
      </c>
      <c r="C213" s="79" t="s">
        <v>493</v>
      </c>
      <c r="D213" s="222">
        <f t="shared" si="20"/>
        <v>3750</v>
      </c>
      <c r="E213" s="222">
        <f t="shared" si="20"/>
        <v>3750</v>
      </c>
      <c r="F213" s="222">
        <f t="shared" si="20"/>
        <v>3750</v>
      </c>
      <c r="G213" s="1917">
        <f>F213/E213</f>
        <v>1</v>
      </c>
      <c r="H213" s="170">
        <f>H216</f>
        <v>3750</v>
      </c>
      <c r="I213" s="222">
        <f>I216</f>
        <v>3750</v>
      </c>
      <c r="J213" s="222">
        <f>J216</f>
        <v>3750</v>
      </c>
      <c r="K213" s="1918">
        <f>J213/I213</f>
        <v>1</v>
      </c>
    </row>
    <row r="214" spans="1:11" s="805" customFormat="1" ht="51">
      <c r="A214" s="1915"/>
      <c r="B214" s="1919"/>
      <c r="C214" s="93" t="s">
        <v>579</v>
      </c>
      <c r="D214" s="1486">
        <f t="shared" si="20"/>
        <v>3750</v>
      </c>
      <c r="E214" s="1486">
        <f t="shared" si="20"/>
        <v>3750</v>
      </c>
      <c r="F214" s="1486">
        <f t="shared" si="20"/>
        <v>3750</v>
      </c>
      <c r="G214" s="1920">
        <f>F214/E214</f>
        <v>1</v>
      </c>
      <c r="H214" s="1921"/>
      <c r="I214" s="1486"/>
      <c r="J214" s="1486"/>
      <c r="K214" s="1487"/>
    </row>
    <row r="215" spans="1:11" s="805" customFormat="1" ht="38.25">
      <c r="A215" s="1915"/>
      <c r="B215" s="1922" t="s">
        <v>290</v>
      </c>
      <c r="C215" s="1760" t="s">
        <v>270</v>
      </c>
      <c r="D215" s="1923">
        <v>3750</v>
      </c>
      <c r="E215" s="1923">
        <v>3750</v>
      </c>
      <c r="F215" s="1923">
        <v>3750</v>
      </c>
      <c r="G215" s="1924">
        <f>F215/E215</f>
        <v>1</v>
      </c>
      <c r="H215" s="1925"/>
      <c r="I215" s="1923"/>
      <c r="J215" s="1923"/>
      <c r="K215" s="1926"/>
    </row>
    <row r="216" spans="1:11" s="805" customFormat="1" ht="38.25">
      <c r="A216" s="1927"/>
      <c r="B216" s="1927"/>
      <c r="C216" s="173" t="s">
        <v>810</v>
      </c>
      <c r="D216" s="1928"/>
      <c r="E216" s="1928"/>
      <c r="F216" s="1928"/>
      <c r="G216" s="1929"/>
      <c r="H216" s="174">
        <v>3750</v>
      </c>
      <c r="I216" s="1928">
        <v>3750</v>
      </c>
      <c r="J216" s="1928">
        <v>3750</v>
      </c>
      <c r="K216" s="1930">
        <f>J216/I216</f>
        <v>1</v>
      </c>
    </row>
    <row r="219" ht="12.75">
      <c r="I219" s="1980" t="s">
        <v>449</v>
      </c>
    </row>
    <row r="220" ht="12.75">
      <c r="I220" s="1980" t="s">
        <v>450</v>
      </c>
    </row>
    <row r="221" ht="12.75">
      <c r="I221" s="1980" t="s">
        <v>451</v>
      </c>
    </row>
  </sheetData>
  <mergeCells count="9">
    <mergeCell ref="I1:K4"/>
    <mergeCell ref="D6:D7"/>
    <mergeCell ref="E6:E7"/>
    <mergeCell ref="F6:F7"/>
    <mergeCell ref="G6:G7"/>
    <mergeCell ref="H6:H7"/>
    <mergeCell ref="I6:I7"/>
    <mergeCell ref="J6:J7"/>
    <mergeCell ref="K6:K7"/>
  </mergeCells>
  <printOptions horizontalCentered="1"/>
  <pageMargins left="0.7874015748031497" right="0.7874015748031497" top="0.5118110236220472" bottom="0.6692913385826772" header="0.5118110236220472" footer="0.5118110236220472"/>
  <pageSetup firstPageNumber="73" useFirstPageNumber="1" horizontalDpi="600" verticalDpi="600" orientation="landscape" pageOrder="overThenDown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41"/>
  <sheetViews>
    <sheetView zoomScale="75" zoomScaleNormal="75" workbookViewId="0" topLeftCell="A1">
      <selection activeCell="J20" sqref="J20:J21"/>
    </sheetView>
  </sheetViews>
  <sheetFormatPr defaultColWidth="9.00390625" defaultRowHeight="12.75"/>
  <cols>
    <col min="1" max="1" width="7.00390625" style="676" customWidth="1"/>
    <col min="2" max="2" width="8.125" style="676" customWidth="1"/>
    <col min="3" max="3" width="62.125" style="676" customWidth="1"/>
    <col min="4" max="6" width="18.75390625" style="677" customWidth="1"/>
    <col min="7" max="7" width="14.625" style="679" customWidth="1"/>
    <col min="8" max="8" width="9.125" style="676" customWidth="1"/>
    <col min="9" max="10" width="12.75390625" style="676" bestFit="1" customWidth="1"/>
    <col min="11" max="16384" width="9.125" style="676" customWidth="1"/>
  </cols>
  <sheetData>
    <row r="1" ht="19.5" customHeight="1">
      <c r="F1" s="678" t="s">
        <v>601</v>
      </c>
    </row>
    <row r="2" ht="19.5" customHeight="1">
      <c r="F2" s="3" t="s">
        <v>977</v>
      </c>
    </row>
    <row r="3" spans="3:6" ht="19.5" customHeight="1">
      <c r="C3" s="680" t="s">
        <v>602</v>
      </c>
      <c r="F3" s="11" t="s">
        <v>292</v>
      </c>
    </row>
    <row r="4" spans="3:6" ht="19.5" customHeight="1">
      <c r="C4" s="680"/>
      <c r="F4" s="11" t="s">
        <v>978</v>
      </c>
    </row>
    <row r="5" ht="15.75">
      <c r="C5" s="680"/>
    </row>
    <row r="6" ht="15.75" thickBot="1">
      <c r="G6" s="681" t="s">
        <v>297</v>
      </c>
    </row>
    <row r="7" spans="1:7" ht="17.25" customHeight="1" thickTop="1">
      <c r="A7" s="682"/>
      <c r="B7" s="682"/>
      <c r="C7" s="1941" t="s">
        <v>603</v>
      </c>
      <c r="D7" s="1943" t="s">
        <v>299</v>
      </c>
      <c r="E7" s="1946" t="s">
        <v>604</v>
      </c>
      <c r="F7" s="1946" t="s">
        <v>605</v>
      </c>
      <c r="G7" s="1935" t="s">
        <v>606</v>
      </c>
    </row>
    <row r="8" spans="1:7" ht="22.5" customHeight="1">
      <c r="A8" s="683"/>
      <c r="B8" s="683"/>
      <c r="C8" s="1942"/>
      <c r="D8" s="1944"/>
      <c r="E8" s="1947"/>
      <c r="F8" s="1947"/>
      <c r="G8" s="1939"/>
    </row>
    <row r="9" spans="1:7" ht="36.75" customHeight="1" thickBot="1">
      <c r="A9" s="684" t="s">
        <v>303</v>
      </c>
      <c r="B9" s="684" t="s">
        <v>607</v>
      </c>
      <c r="C9" s="685" t="s">
        <v>608</v>
      </c>
      <c r="D9" s="1945"/>
      <c r="E9" s="1948"/>
      <c r="F9" s="1948"/>
      <c r="G9" s="1940"/>
    </row>
    <row r="10" spans="1:7" s="689" customFormat="1" ht="14.25" customHeight="1" thickBot="1" thickTop="1">
      <c r="A10" s="686">
        <v>1</v>
      </c>
      <c r="B10" s="686">
        <v>2</v>
      </c>
      <c r="C10" s="686">
        <v>3</v>
      </c>
      <c r="D10" s="687">
        <v>4</v>
      </c>
      <c r="E10" s="687">
        <v>5</v>
      </c>
      <c r="F10" s="687">
        <v>6</v>
      </c>
      <c r="G10" s="688">
        <v>7</v>
      </c>
    </row>
    <row r="11" spans="1:10" s="694" customFormat="1" ht="24.75" customHeight="1" thickBot="1" thickTop="1">
      <c r="A11" s="690"/>
      <c r="B11" s="690"/>
      <c r="C11" s="691" t="s">
        <v>609</v>
      </c>
      <c r="D11" s="692">
        <f>D13+D381+D400</f>
        <v>650035225</v>
      </c>
      <c r="E11" s="692">
        <f>E13+E381+E400</f>
        <v>672032876</v>
      </c>
      <c r="F11" s="692">
        <f>F13+F381+F400</f>
        <v>648754452</v>
      </c>
      <c r="G11" s="693">
        <f>F11/E11</f>
        <v>0.9653611827169003</v>
      </c>
      <c r="I11" s="695"/>
      <c r="J11" s="695"/>
    </row>
    <row r="12" spans="1:7" s="694" customFormat="1" ht="19.5" customHeight="1">
      <c r="A12" s="696"/>
      <c r="B12" s="696"/>
      <c r="C12" s="697" t="s">
        <v>308</v>
      </c>
      <c r="D12" s="698"/>
      <c r="E12" s="698"/>
      <c r="F12" s="698"/>
      <c r="G12" s="699"/>
    </row>
    <row r="13" spans="1:10" s="694" customFormat="1" ht="19.5" customHeight="1" thickBot="1">
      <c r="A13" s="700"/>
      <c r="B13" s="700"/>
      <c r="C13" s="701" t="s">
        <v>610</v>
      </c>
      <c r="D13" s="702">
        <f>D20+D23+D37+D43+D58+D69+D84+D98+D104+D110+D179+D194+D252+D308+D345+D370+D14+D17</f>
        <v>593403515</v>
      </c>
      <c r="E13" s="702">
        <f>E20+E23+E37+E43+E58+E69+E84+E98+E104+E110+E179+E194+E252+E308+E345+E370+E14+E17</f>
        <v>615856849</v>
      </c>
      <c r="F13" s="702">
        <f>F20+F23+F37+F43+F58+F69+F84+F98+F104+F110+F179+F194+F252+F308+F345+F370+F14+F17</f>
        <v>593297216</v>
      </c>
      <c r="G13" s="703">
        <f aca="true" t="shared" si="0" ref="G13:G33">F13/E13</f>
        <v>0.9633687064832821</v>
      </c>
      <c r="J13" s="695"/>
    </row>
    <row r="14" spans="1:7" s="694" customFormat="1" ht="19.5" customHeight="1" thickTop="1">
      <c r="A14" s="704" t="s">
        <v>311</v>
      </c>
      <c r="B14" s="705"/>
      <c r="C14" s="706" t="s">
        <v>312</v>
      </c>
      <c r="D14" s="707">
        <f aca="true" t="shared" si="1" ref="D14:F15">D15</f>
        <v>10000</v>
      </c>
      <c r="E14" s="707">
        <f t="shared" si="1"/>
        <v>16000</v>
      </c>
      <c r="F14" s="707">
        <f t="shared" si="1"/>
        <v>14475</v>
      </c>
      <c r="G14" s="708">
        <f t="shared" si="0"/>
        <v>0.9046875</v>
      </c>
    </row>
    <row r="15" spans="1:7" s="714" customFormat="1" ht="19.5" customHeight="1">
      <c r="A15" s="709"/>
      <c r="B15" s="710" t="s">
        <v>611</v>
      </c>
      <c r="C15" s="711" t="s">
        <v>612</v>
      </c>
      <c r="D15" s="712">
        <f t="shared" si="1"/>
        <v>10000</v>
      </c>
      <c r="E15" s="712">
        <f t="shared" si="1"/>
        <v>16000</v>
      </c>
      <c r="F15" s="712">
        <f t="shared" si="1"/>
        <v>14475</v>
      </c>
      <c r="G15" s="713">
        <f t="shared" si="0"/>
        <v>0.9046875</v>
      </c>
    </row>
    <row r="16" spans="1:7" s="719" customFormat="1" ht="19.5" customHeight="1">
      <c r="A16" s="715"/>
      <c r="B16" s="715"/>
      <c r="C16" s="716" t="s">
        <v>613</v>
      </c>
      <c r="D16" s="717">
        <v>10000</v>
      </c>
      <c r="E16" s="717">
        <v>16000</v>
      </c>
      <c r="F16" s="717">
        <v>14475</v>
      </c>
      <c r="G16" s="718">
        <f t="shared" si="0"/>
        <v>0.9046875</v>
      </c>
    </row>
    <row r="17" spans="1:7" s="694" customFormat="1" ht="19.5" customHeight="1">
      <c r="A17" s="720" t="s">
        <v>542</v>
      </c>
      <c r="B17" s="705"/>
      <c r="C17" s="706" t="s">
        <v>614</v>
      </c>
      <c r="D17" s="707">
        <f aca="true" t="shared" si="2" ref="D17:F18">D18</f>
        <v>3000</v>
      </c>
      <c r="E17" s="707">
        <f t="shared" si="2"/>
        <v>4000</v>
      </c>
      <c r="F17" s="707">
        <f t="shared" si="2"/>
        <v>4000</v>
      </c>
      <c r="G17" s="708">
        <f t="shared" si="0"/>
        <v>1</v>
      </c>
    </row>
    <row r="18" spans="1:7" s="714" customFormat="1" ht="19.5" customHeight="1">
      <c r="A18" s="709"/>
      <c r="B18" s="710" t="s">
        <v>544</v>
      </c>
      <c r="C18" s="711" t="s">
        <v>615</v>
      </c>
      <c r="D18" s="712">
        <f t="shared" si="2"/>
        <v>3000</v>
      </c>
      <c r="E18" s="712">
        <f t="shared" si="2"/>
        <v>4000</v>
      </c>
      <c r="F18" s="712">
        <f t="shared" si="2"/>
        <v>4000</v>
      </c>
      <c r="G18" s="713">
        <f t="shared" si="0"/>
        <v>1</v>
      </c>
    </row>
    <row r="19" spans="1:7" s="719" customFormat="1" ht="19.5" customHeight="1">
      <c r="A19" s="715"/>
      <c r="B19" s="715"/>
      <c r="C19" s="716" t="s">
        <v>616</v>
      </c>
      <c r="D19" s="717">
        <v>3000</v>
      </c>
      <c r="E19" s="717">
        <v>4000</v>
      </c>
      <c r="F19" s="717">
        <v>4000</v>
      </c>
      <c r="G19" s="718">
        <f t="shared" si="0"/>
        <v>1</v>
      </c>
    </row>
    <row r="20" spans="1:7" s="694" customFormat="1" ht="19.5" customHeight="1">
      <c r="A20" s="705">
        <v>500</v>
      </c>
      <c r="B20" s="705"/>
      <c r="C20" s="706" t="s">
        <v>617</v>
      </c>
      <c r="D20" s="721">
        <f>D21</f>
        <v>6500</v>
      </c>
      <c r="E20" s="721">
        <f>E21</f>
        <v>6500</v>
      </c>
      <c r="F20" s="721">
        <f>F21</f>
        <v>4800</v>
      </c>
      <c r="G20" s="722">
        <f t="shared" si="0"/>
        <v>0.7384615384615385</v>
      </c>
    </row>
    <row r="21" spans="1:7" s="714" customFormat="1" ht="19.5" customHeight="1">
      <c r="A21" s="709"/>
      <c r="B21" s="711">
        <v>50095</v>
      </c>
      <c r="C21" s="711" t="s">
        <v>314</v>
      </c>
      <c r="D21" s="723">
        <f>SUM(D22:D22)</f>
        <v>6500</v>
      </c>
      <c r="E21" s="723">
        <f>SUM(E22:E22)</f>
        <v>6500</v>
      </c>
      <c r="F21" s="723">
        <f>F22</f>
        <v>4800</v>
      </c>
      <c r="G21" s="724">
        <f t="shared" si="0"/>
        <v>0.7384615384615385</v>
      </c>
    </row>
    <row r="22" spans="1:7" s="719" customFormat="1" ht="19.5" customHeight="1">
      <c r="A22" s="715"/>
      <c r="B22" s="715"/>
      <c r="C22" s="725" t="s">
        <v>618</v>
      </c>
      <c r="D22" s="726">
        <v>6500</v>
      </c>
      <c r="E22" s="727">
        <v>6500</v>
      </c>
      <c r="F22" s="727">
        <v>4800</v>
      </c>
      <c r="G22" s="728">
        <f t="shared" si="0"/>
        <v>0.7384615384615385</v>
      </c>
    </row>
    <row r="23" spans="1:7" s="694" customFormat="1" ht="19.5" customHeight="1">
      <c r="A23" s="705">
        <v>600</v>
      </c>
      <c r="B23" s="729"/>
      <c r="C23" s="730" t="s">
        <v>434</v>
      </c>
      <c r="D23" s="731">
        <f>D24+D27+D31+D35</f>
        <v>54787703</v>
      </c>
      <c r="E23" s="731">
        <f>E24+E27+E31+E35</f>
        <v>58041703</v>
      </c>
      <c r="F23" s="731">
        <f>F24+F27+F31+F35</f>
        <v>57271150</v>
      </c>
      <c r="G23" s="732">
        <f t="shared" si="0"/>
        <v>0.9867241490140287</v>
      </c>
    </row>
    <row r="24" spans="1:7" s="734" customFormat="1" ht="19.5" customHeight="1">
      <c r="A24" s="733"/>
      <c r="B24" s="711">
        <v>60004</v>
      </c>
      <c r="C24" s="711" t="s">
        <v>619</v>
      </c>
      <c r="D24" s="712">
        <f>SUM(D25:D26)</f>
        <v>22287703</v>
      </c>
      <c r="E24" s="712">
        <f>SUM(E25:E26)</f>
        <v>22287703</v>
      </c>
      <c r="F24" s="712">
        <f>SUM(F25:F26)</f>
        <v>22287703</v>
      </c>
      <c r="G24" s="713">
        <f t="shared" si="0"/>
        <v>1</v>
      </c>
    </row>
    <row r="25" spans="1:7" s="734" customFormat="1" ht="19.5" customHeight="1">
      <c r="A25" s="733"/>
      <c r="B25" s="735"/>
      <c r="C25" s="736" t="s">
        <v>620</v>
      </c>
      <c r="D25" s="726">
        <f>15000000-600000</f>
        <v>14400000</v>
      </c>
      <c r="E25" s="726">
        <v>14400000</v>
      </c>
      <c r="F25" s="726">
        <v>14400000</v>
      </c>
      <c r="G25" s="737">
        <f t="shared" si="0"/>
        <v>1</v>
      </c>
    </row>
    <row r="26" spans="1:7" s="734" customFormat="1" ht="19.5" customHeight="1">
      <c r="A26" s="733"/>
      <c r="B26" s="738"/>
      <c r="C26" s="738" t="s">
        <v>621</v>
      </c>
      <c r="D26" s="739">
        <v>7887703</v>
      </c>
      <c r="E26" s="739">
        <v>7887703</v>
      </c>
      <c r="F26" s="739">
        <v>7887703</v>
      </c>
      <c r="G26" s="740">
        <f t="shared" si="0"/>
        <v>1</v>
      </c>
    </row>
    <row r="27" spans="1:7" s="734" customFormat="1" ht="19.5" customHeight="1">
      <c r="A27" s="733"/>
      <c r="B27" s="741">
        <v>60015</v>
      </c>
      <c r="C27" s="741" t="s">
        <v>547</v>
      </c>
      <c r="D27" s="742">
        <f>SUM(D28:D30)</f>
        <v>25361000</v>
      </c>
      <c r="E27" s="742">
        <f>SUM(E28:E30)</f>
        <v>30222416</v>
      </c>
      <c r="F27" s="742">
        <f>SUM(F28:F30)</f>
        <v>29519648</v>
      </c>
      <c r="G27" s="743">
        <f t="shared" si="0"/>
        <v>0.9767467961528953</v>
      </c>
    </row>
    <row r="28" spans="1:7" s="734" customFormat="1" ht="19.5" customHeight="1">
      <c r="A28" s="738"/>
      <c r="B28" s="744"/>
      <c r="C28" s="744" t="s">
        <v>622</v>
      </c>
      <c r="D28" s="717">
        <f>4100000+50000</f>
        <v>4150000</v>
      </c>
      <c r="E28" s="717">
        <v>4151583</v>
      </c>
      <c r="F28" s="717">
        <v>3954025</v>
      </c>
      <c r="G28" s="718">
        <f t="shared" si="0"/>
        <v>0.952413814200511</v>
      </c>
    </row>
    <row r="29" spans="1:7" s="734" customFormat="1" ht="19.5" customHeight="1">
      <c r="A29" s="733"/>
      <c r="B29" s="733"/>
      <c r="C29" s="745" t="s">
        <v>623</v>
      </c>
      <c r="D29" s="727">
        <v>2000000</v>
      </c>
      <c r="E29" s="727">
        <v>2350066</v>
      </c>
      <c r="F29" s="727">
        <v>2327718</v>
      </c>
      <c r="G29" s="728">
        <f t="shared" si="0"/>
        <v>0.9904904798418427</v>
      </c>
    </row>
    <row r="30" spans="1:7" s="694" customFormat="1" ht="19.5" customHeight="1">
      <c r="A30" s="733"/>
      <c r="B30" s="738"/>
      <c r="C30" s="738" t="s">
        <v>624</v>
      </c>
      <c r="D30" s="739">
        <f>18901000+310000</f>
        <v>19211000</v>
      </c>
      <c r="E30" s="739">
        <v>23720767</v>
      </c>
      <c r="F30" s="739">
        <v>23237905</v>
      </c>
      <c r="G30" s="740">
        <f t="shared" si="0"/>
        <v>0.9796439128633573</v>
      </c>
    </row>
    <row r="31" spans="1:7" s="694" customFormat="1" ht="19.5" customHeight="1">
      <c r="A31" s="733"/>
      <c r="B31" s="741">
        <v>60016</v>
      </c>
      <c r="C31" s="741" t="s">
        <v>435</v>
      </c>
      <c r="D31" s="742">
        <f>SUM(D32:D34)</f>
        <v>7039000</v>
      </c>
      <c r="E31" s="742">
        <f>SUM(E32:E34)</f>
        <v>5431584</v>
      </c>
      <c r="F31" s="742">
        <f>SUM(F32:F34)</f>
        <v>5364499</v>
      </c>
      <c r="G31" s="743">
        <f t="shared" si="0"/>
        <v>0.987649090946582</v>
      </c>
    </row>
    <row r="32" spans="1:7" s="694" customFormat="1" ht="18.75" customHeight="1">
      <c r="A32" s="733"/>
      <c r="B32" s="733"/>
      <c r="C32" s="736" t="s">
        <v>622</v>
      </c>
      <c r="D32" s="726">
        <f>2300000+40000</f>
        <v>2340000</v>
      </c>
      <c r="E32" s="726">
        <v>2338417</v>
      </c>
      <c r="F32" s="726">
        <v>2271335</v>
      </c>
      <c r="G32" s="737">
        <f t="shared" si="0"/>
        <v>0.9713130720483131</v>
      </c>
    </row>
    <row r="33" spans="1:7" s="694" customFormat="1" ht="18.75" customHeight="1">
      <c r="A33" s="733"/>
      <c r="B33" s="733"/>
      <c r="C33" s="746" t="s">
        <v>623</v>
      </c>
      <c r="D33" s="747">
        <v>800000</v>
      </c>
      <c r="E33" s="747">
        <v>730416</v>
      </c>
      <c r="F33" s="747">
        <v>730416</v>
      </c>
      <c r="G33" s="748">
        <f t="shared" si="0"/>
        <v>1</v>
      </c>
    </row>
    <row r="34" spans="1:7" s="694" customFormat="1" ht="18.75" customHeight="1">
      <c r="A34" s="733"/>
      <c r="B34" s="738"/>
      <c r="C34" s="738" t="s">
        <v>624</v>
      </c>
      <c r="D34" s="739">
        <f>1807000+2092000</f>
        <v>3899000</v>
      </c>
      <c r="E34" s="739">
        <v>2362751</v>
      </c>
      <c r="F34" s="739">
        <v>2362748</v>
      </c>
      <c r="G34" s="740">
        <v>0.9999</v>
      </c>
    </row>
    <row r="35" spans="1:7" s="694" customFormat="1" ht="19.5" customHeight="1">
      <c r="A35" s="733"/>
      <c r="B35" s="741">
        <v>60017</v>
      </c>
      <c r="C35" s="741" t="s">
        <v>625</v>
      </c>
      <c r="D35" s="742">
        <f>D36</f>
        <v>100000</v>
      </c>
      <c r="E35" s="742">
        <f>E36</f>
        <v>100000</v>
      </c>
      <c r="F35" s="742">
        <f>F36</f>
        <v>99300</v>
      </c>
      <c r="G35" s="743">
        <f>F35/E35</f>
        <v>0.993</v>
      </c>
    </row>
    <row r="36" spans="1:7" s="694" customFormat="1" ht="18.75" customHeight="1">
      <c r="A36" s="733"/>
      <c r="B36" s="744"/>
      <c r="C36" s="744" t="s">
        <v>622</v>
      </c>
      <c r="D36" s="717">
        <v>100000</v>
      </c>
      <c r="E36" s="717">
        <v>100000</v>
      </c>
      <c r="F36" s="717">
        <v>99300</v>
      </c>
      <c r="G36" s="718">
        <f>F36/E36</f>
        <v>0.993</v>
      </c>
    </row>
    <row r="37" spans="1:7" s="694" customFormat="1" ht="19.5" customHeight="1">
      <c r="A37" s="705">
        <v>630</v>
      </c>
      <c r="B37" s="706"/>
      <c r="C37" s="706" t="s">
        <v>494</v>
      </c>
      <c r="D37" s="707">
        <f>D38+D41</f>
        <v>200000</v>
      </c>
      <c r="E37" s="707">
        <f>E38+E41</f>
        <v>200000</v>
      </c>
      <c r="F37" s="707">
        <f>F38+F41</f>
        <v>199000</v>
      </c>
      <c r="G37" s="708">
        <f>F37/E37</f>
        <v>0.995</v>
      </c>
    </row>
    <row r="38" spans="1:7" s="694" customFormat="1" ht="19.5" customHeight="1">
      <c r="A38" s="733"/>
      <c r="B38" s="711">
        <v>63001</v>
      </c>
      <c r="C38" s="711" t="s">
        <v>495</v>
      </c>
      <c r="D38" s="712">
        <f>D39</f>
        <v>150000</v>
      </c>
      <c r="E38" s="712">
        <f>E39</f>
        <v>150000</v>
      </c>
      <c r="F38" s="712">
        <f>F39</f>
        <v>150000</v>
      </c>
      <c r="G38" s="713">
        <f>F38/E38</f>
        <v>1</v>
      </c>
    </row>
    <row r="39" spans="1:7" s="694" customFormat="1" ht="18.75" customHeight="1">
      <c r="A39" s="733"/>
      <c r="B39" s="733"/>
      <c r="C39" s="733" t="s">
        <v>626</v>
      </c>
      <c r="D39" s="749">
        <v>150000</v>
      </c>
      <c r="E39" s="749">
        <v>150000</v>
      </c>
      <c r="F39" s="749">
        <v>150000</v>
      </c>
      <c r="G39" s="750">
        <f>F39/E39</f>
        <v>1</v>
      </c>
    </row>
    <row r="40" spans="1:7" s="694" customFormat="1" ht="15.75" customHeight="1">
      <c r="A40" s="733"/>
      <c r="B40" s="738"/>
      <c r="C40" s="751" t="s">
        <v>627</v>
      </c>
      <c r="D40" s="752"/>
      <c r="E40" s="752"/>
      <c r="F40" s="752"/>
      <c r="G40" s="753"/>
    </row>
    <row r="41" spans="1:7" s="694" customFormat="1" ht="19.5" customHeight="1">
      <c r="A41" s="733"/>
      <c r="B41" s="741">
        <v>63003</v>
      </c>
      <c r="C41" s="741" t="s">
        <v>628</v>
      </c>
      <c r="D41" s="742">
        <f>D42</f>
        <v>50000</v>
      </c>
      <c r="E41" s="742">
        <f>E42</f>
        <v>50000</v>
      </c>
      <c r="F41" s="742">
        <f>F42</f>
        <v>49000</v>
      </c>
      <c r="G41" s="743">
        <f>F41/E41</f>
        <v>0.98</v>
      </c>
    </row>
    <row r="42" spans="1:7" s="694" customFormat="1" ht="19.5" customHeight="1">
      <c r="A42" s="738"/>
      <c r="B42" s="738"/>
      <c r="C42" s="738" t="s">
        <v>629</v>
      </c>
      <c r="D42" s="739">
        <v>50000</v>
      </c>
      <c r="E42" s="739">
        <v>50000</v>
      </c>
      <c r="F42" s="739">
        <v>49000</v>
      </c>
      <c r="G42" s="740">
        <f>F42/E42</f>
        <v>0.98</v>
      </c>
    </row>
    <row r="43" spans="1:7" s="694" customFormat="1" ht="19.5" customHeight="1">
      <c r="A43" s="706">
        <v>700</v>
      </c>
      <c r="B43" s="706"/>
      <c r="C43" s="706" t="s">
        <v>316</v>
      </c>
      <c r="D43" s="707">
        <f>D44+D47+D50+D55+D53</f>
        <v>9938000</v>
      </c>
      <c r="E43" s="707">
        <f>E44+E47+E50+E55+E53</f>
        <v>9938000</v>
      </c>
      <c r="F43" s="707">
        <f>F44+F47+F50+F55+F53</f>
        <v>8861095</v>
      </c>
      <c r="G43" s="708">
        <f>F43/E43</f>
        <v>0.8916376534513987</v>
      </c>
    </row>
    <row r="44" spans="1:7" s="694" customFormat="1" ht="19.5" customHeight="1">
      <c r="A44" s="733"/>
      <c r="B44" s="711">
        <v>70001</v>
      </c>
      <c r="C44" s="711" t="s">
        <v>317</v>
      </c>
      <c r="D44" s="712">
        <f>D45</f>
        <v>5200000</v>
      </c>
      <c r="E44" s="712">
        <f>E45</f>
        <v>5200000</v>
      </c>
      <c r="F44" s="712">
        <f>F45</f>
        <v>4765591</v>
      </c>
      <c r="G44" s="713">
        <f>F44/E44</f>
        <v>0.9164598076923077</v>
      </c>
    </row>
    <row r="45" spans="1:7" s="694" customFormat="1" ht="16.5" customHeight="1">
      <c r="A45" s="733"/>
      <c r="B45" s="733"/>
      <c r="C45" s="754" t="s">
        <v>630</v>
      </c>
      <c r="D45" s="749">
        <f>5000000+200000</f>
        <v>5200000</v>
      </c>
      <c r="E45" s="749">
        <v>5200000</v>
      </c>
      <c r="F45" s="749">
        <v>4765591</v>
      </c>
      <c r="G45" s="750">
        <f>F45/E45</f>
        <v>0.9164598076923077</v>
      </c>
    </row>
    <row r="46" spans="1:7" s="694" customFormat="1" ht="30.75" customHeight="1">
      <c r="A46" s="733"/>
      <c r="B46" s="738"/>
      <c r="C46" s="755" t="s">
        <v>631</v>
      </c>
      <c r="D46" s="739"/>
      <c r="E46" s="739"/>
      <c r="F46" s="739"/>
      <c r="G46" s="740"/>
    </row>
    <row r="47" spans="1:7" s="694" customFormat="1" ht="19.5" customHeight="1">
      <c r="A47" s="733"/>
      <c r="B47" s="756">
        <v>70004</v>
      </c>
      <c r="C47" s="757" t="s">
        <v>632</v>
      </c>
      <c r="D47" s="742">
        <f>SUM(D48:D49)</f>
        <v>125000</v>
      </c>
      <c r="E47" s="742">
        <f>SUM(E48:E49)</f>
        <v>177940</v>
      </c>
      <c r="F47" s="742">
        <f>SUM(F48:F49)</f>
        <v>172300</v>
      </c>
      <c r="G47" s="743">
        <f aca="true" t="shared" si="3" ref="G47:G55">F47/E47</f>
        <v>0.9683039226705631</v>
      </c>
    </row>
    <row r="48" spans="1:7" s="694" customFormat="1" ht="19.5" customHeight="1">
      <c r="A48" s="733"/>
      <c r="B48" s="733"/>
      <c r="C48" s="736" t="s">
        <v>633</v>
      </c>
      <c r="D48" s="726">
        <v>100000</v>
      </c>
      <c r="E48" s="726">
        <v>148909</v>
      </c>
      <c r="F48" s="726">
        <v>145722</v>
      </c>
      <c r="G48" s="737">
        <f t="shared" si="3"/>
        <v>0.9785976670315427</v>
      </c>
    </row>
    <row r="49" spans="1:7" s="694" customFormat="1" ht="40.5" customHeight="1">
      <c r="A49" s="733"/>
      <c r="B49" s="738"/>
      <c r="C49" s="758" t="s">
        <v>634</v>
      </c>
      <c r="D49" s="739">
        <v>25000</v>
      </c>
      <c r="E49" s="739">
        <v>29031</v>
      </c>
      <c r="F49" s="739">
        <v>26578</v>
      </c>
      <c r="G49" s="740">
        <f t="shared" si="3"/>
        <v>0.9155041162894837</v>
      </c>
    </row>
    <row r="50" spans="1:7" s="694" customFormat="1" ht="19.5" customHeight="1">
      <c r="A50" s="733"/>
      <c r="B50" s="741">
        <v>70005</v>
      </c>
      <c r="C50" s="741" t="s">
        <v>319</v>
      </c>
      <c r="D50" s="742">
        <f>SUM(D51:D52)</f>
        <v>910000</v>
      </c>
      <c r="E50" s="742">
        <f>SUM(E51:E52)</f>
        <v>860000</v>
      </c>
      <c r="F50" s="742">
        <f>SUM(F51:F52)</f>
        <v>722173</v>
      </c>
      <c r="G50" s="743">
        <f t="shared" si="3"/>
        <v>0.8397360465116279</v>
      </c>
    </row>
    <row r="51" spans="1:7" s="694" customFormat="1" ht="27.75" customHeight="1">
      <c r="A51" s="733"/>
      <c r="B51" s="733"/>
      <c r="C51" s="759" t="s">
        <v>635</v>
      </c>
      <c r="D51" s="726">
        <v>410000</v>
      </c>
      <c r="E51" s="726">
        <v>510000</v>
      </c>
      <c r="F51" s="726">
        <v>410407</v>
      </c>
      <c r="G51" s="737">
        <f t="shared" si="3"/>
        <v>0.8047196078431372</v>
      </c>
    </row>
    <row r="52" spans="1:7" s="694" customFormat="1" ht="19.5" customHeight="1">
      <c r="A52" s="733"/>
      <c r="B52" s="738"/>
      <c r="C52" s="758" t="s">
        <v>636</v>
      </c>
      <c r="D52" s="739">
        <v>500000</v>
      </c>
      <c r="E52" s="739">
        <v>350000</v>
      </c>
      <c r="F52" s="739">
        <v>311766</v>
      </c>
      <c r="G52" s="740">
        <f t="shared" si="3"/>
        <v>0.89076</v>
      </c>
    </row>
    <row r="53" spans="1:7" s="694" customFormat="1" ht="19.5" customHeight="1">
      <c r="A53" s="733"/>
      <c r="B53" s="741">
        <v>70021</v>
      </c>
      <c r="C53" s="741" t="s">
        <v>637</v>
      </c>
      <c r="D53" s="742">
        <f>D54</f>
        <v>2000000</v>
      </c>
      <c r="E53" s="742">
        <f>E54</f>
        <v>2000000</v>
      </c>
      <c r="F53" s="742">
        <f>F54</f>
        <v>2000000</v>
      </c>
      <c r="G53" s="743">
        <f t="shared" si="3"/>
        <v>1</v>
      </c>
    </row>
    <row r="54" spans="1:7" s="694" customFormat="1" ht="19.5" customHeight="1">
      <c r="A54" s="738"/>
      <c r="B54" s="744"/>
      <c r="C54" s="716" t="s">
        <v>638</v>
      </c>
      <c r="D54" s="717">
        <f>2000000</f>
        <v>2000000</v>
      </c>
      <c r="E54" s="717">
        <v>2000000</v>
      </c>
      <c r="F54" s="717">
        <v>2000000</v>
      </c>
      <c r="G54" s="718">
        <f t="shared" si="3"/>
        <v>1</v>
      </c>
    </row>
    <row r="55" spans="1:7" s="694" customFormat="1" ht="19.5" customHeight="1">
      <c r="A55" s="733"/>
      <c r="B55" s="741">
        <v>70095</v>
      </c>
      <c r="C55" s="741" t="s">
        <v>314</v>
      </c>
      <c r="D55" s="742">
        <f>SUM(D56:D57)</f>
        <v>1703000</v>
      </c>
      <c r="E55" s="742">
        <f>SUM(E56:E57)</f>
        <v>1700060</v>
      </c>
      <c r="F55" s="742">
        <f>SUM(F56:F57)</f>
        <v>1201031</v>
      </c>
      <c r="G55" s="743">
        <f t="shared" si="3"/>
        <v>0.706463889509782</v>
      </c>
    </row>
    <row r="56" spans="1:7" s="694" customFormat="1" ht="19.5" customHeight="1">
      <c r="A56" s="733"/>
      <c r="B56" s="733"/>
      <c r="C56" s="746" t="s">
        <v>639</v>
      </c>
      <c r="D56" s="747">
        <v>3000</v>
      </c>
      <c r="E56" s="747">
        <v>60</v>
      </c>
      <c r="F56" s="747"/>
      <c r="G56" s="748"/>
    </row>
    <row r="57" spans="1:7" s="694" customFormat="1" ht="19.5" customHeight="1">
      <c r="A57" s="738"/>
      <c r="B57" s="738"/>
      <c r="C57" s="738" t="s">
        <v>624</v>
      </c>
      <c r="D57" s="739">
        <v>1700000</v>
      </c>
      <c r="E57" s="739">
        <v>1700000</v>
      </c>
      <c r="F57" s="739">
        <v>1201031</v>
      </c>
      <c r="G57" s="740">
        <f>F57/E57</f>
        <v>0.7064888235294118</v>
      </c>
    </row>
    <row r="58" spans="1:7" s="694" customFormat="1" ht="19.5" customHeight="1">
      <c r="A58" s="706">
        <v>710</v>
      </c>
      <c r="B58" s="706"/>
      <c r="C58" s="706" t="s">
        <v>332</v>
      </c>
      <c r="D58" s="707">
        <f>D59+D62+D64</f>
        <v>1964500</v>
      </c>
      <c r="E58" s="707">
        <f>E59+E62+E64+E67</f>
        <v>1964500</v>
      </c>
      <c r="F58" s="707">
        <f>F59+F62+F64+F67</f>
        <v>1618363</v>
      </c>
      <c r="G58" s="708">
        <f>F58/E58</f>
        <v>0.8238040213794858</v>
      </c>
    </row>
    <row r="59" spans="1:7" s="694" customFormat="1" ht="19.5" customHeight="1">
      <c r="A59" s="733"/>
      <c r="B59" s="711">
        <v>71004</v>
      </c>
      <c r="C59" s="711" t="s">
        <v>640</v>
      </c>
      <c r="D59" s="712">
        <f>SUM(D60:D61)</f>
        <v>110500</v>
      </c>
      <c r="E59" s="712">
        <f>SUM(E60:E61)</f>
        <v>110500</v>
      </c>
      <c r="F59" s="712">
        <f>SUM(F60:F61)</f>
        <v>64834</v>
      </c>
      <c r="G59" s="713">
        <f>F59/E59</f>
        <v>0.5867330316742081</v>
      </c>
    </row>
    <row r="60" spans="1:7" s="694" customFormat="1" ht="28.5" customHeight="1">
      <c r="A60" s="733"/>
      <c r="B60" s="733"/>
      <c r="C60" s="759" t="s">
        <v>641</v>
      </c>
      <c r="D60" s="726">
        <v>3000</v>
      </c>
      <c r="E60" s="726">
        <v>3000</v>
      </c>
      <c r="F60" s="726"/>
      <c r="G60" s="737"/>
    </row>
    <row r="61" spans="1:7" s="694" customFormat="1" ht="19.5" customHeight="1">
      <c r="A61" s="733"/>
      <c r="B61" s="738"/>
      <c r="C61" s="738" t="s">
        <v>642</v>
      </c>
      <c r="D61" s="739">
        <v>107500</v>
      </c>
      <c r="E61" s="739">
        <v>107500</v>
      </c>
      <c r="F61" s="739">
        <v>64834</v>
      </c>
      <c r="G61" s="740">
        <f aca="true" t="shared" si="4" ref="G61:G81">F61/E61</f>
        <v>0.603106976744186</v>
      </c>
    </row>
    <row r="62" spans="1:7" s="694" customFormat="1" ht="19.5" customHeight="1">
      <c r="A62" s="733"/>
      <c r="B62" s="741">
        <v>71014</v>
      </c>
      <c r="C62" s="741" t="s">
        <v>643</v>
      </c>
      <c r="D62" s="742">
        <f>D63</f>
        <v>800000</v>
      </c>
      <c r="E62" s="742">
        <f>E63</f>
        <v>794000</v>
      </c>
      <c r="F62" s="742">
        <f>F63</f>
        <v>581982</v>
      </c>
      <c r="G62" s="743">
        <f t="shared" si="4"/>
        <v>0.7329748110831235</v>
      </c>
    </row>
    <row r="63" spans="1:7" s="694" customFormat="1" ht="28.5" customHeight="1">
      <c r="A63" s="733"/>
      <c r="B63" s="744"/>
      <c r="C63" s="716" t="s">
        <v>644</v>
      </c>
      <c r="D63" s="717">
        <v>800000</v>
      </c>
      <c r="E63" s="717">
        <v>794000</v>
      </c>
      <c r="F63" s="717">
        <v>581982</v>
      </c>
      <c r="G63" s="718">
        <f t="shared" si="4"/>
        <v>0.7329748110831235</v>
      </c>
    </row>
    <row r="64" spans="1:7" s="694" customFormat="1" ht="19.5" customHeight="1">
      <c r="A64" s="733"/>
      <c r="B64" s="741">
        <v>71035</v>
      </c>
      <c r="C64" s="741" t="s">
        <v>333</v>
      </c>
      <c r="D64" s="742">
        <f>SUM(D65:D66)</f>
        <v>1054000</v>
      </c>
      <c r="E64" s="742">
        <f>SUM(E65:E66)</f>
        <v>1054000</v>
      </c>
      <c r="F64" s="742">
        <f>SUM(F65:F66)</f>
        <v>965547</v>
      </c>
      <c r="G64" s="743">
        <f t="shared" si="4"/>
        <v>0.9160787476280835</v>
      </c>
    </row>
    <row r="65" spans="1:7" s="694" customFormat="1" ht="19.5" customHeight="1">
      <c r="A65" s="733"/>
      <c r="B65" s="735"/>
      <c r="C65" s="759" t="s">
        <v>645</v>
      </c>
      <c r="D65" s="726">
        <v>1020000</v>
      </c>
      <c r="E65" s="726">
        <v>1020000</v>
      </c>
      <c r="F65" s="726">
        <v>935000</v>
      </c>
      <c r="G65" s="737">
        <f t="shared" si="4"/>
        <v>0.9166666666666666</v>
      </c>
    </row>
    <row r="66" spans="1:7" s="694" customFormat="1" ht="19.5" customHeight="1">
      <c r="A66" s="733"/>
      <c r="B66" s="738"/>
      <c r="C66" s="760" t="s">
        <v>646</v>
      </c>
      <c r="D66" s="761">
        <v>34000</v>
      </c>
      <c r="E66" s="761">
        <v>34000</v>
      </c>
      <c r="F66" s="761">
        <v>30547</v>
      </c>
      <c r="G66" s="762">
        <f t="shared" si="4"/>
        <v>0.8984411764705882</v>
      </c>
    </row>
    <row r="67" spans="1:7" s="694" customFormat="1" ht="19.5" customHeight="1">
      <c r="A67" s="733"/>
      <c r="B67" s="741">
        <v>71095</v>
      </c>
      <c r="C67" s="741" t="s">
        <v>314</v>
      </c>
      <c r="D67" s="742"/>
      <c r="E67" s="742">
        <f>E68</f>
        <v>6000</v>
      </c>
      <c r="F67" s="742">
        <f>F68</f>
        <v>6000</v>
      </c>
      <c r="G67" s="743">
        <f t="shared" si="4"/>
        <v>1</v>
      </c>
    </row>
    <row r="68" spans="1:7" s="694" customFormat="1" ht="19.5" customHeight="1">
      <c r="A68" s="733"/>
      <c r="B68" s="735"/>
      <c r="C68" s="759" t="s">
        <v>638</v>
      </c>
      <c r="D68" s="726"/>
      <c r="E68" s="726">
        <v>6000</v>
      </c>
      <c r="F68" s="726">
        <v>6000</v>
      </c>
      <c r="G68" s="718">
        <f t="shared" si="4"/>
        <v>1</v>
      </c>
    </row>
    <row r="69" spans="1:7" s="694" customFormat="1" ht="19.5" customHeight="1">
      <c r="A69" s="705">
        <v>750</v>
      </c>
      <c r="B69" s="705"/>
      <c r="C69" s="705" t="s">
        <v>336</v>
      </c>
      <c r="D69" s="731">
        <f>D70+D73+D78+D80</f>
        <v>45335000</v>
      </c>
      <c r="E69" s="731">
        <f>E70+E73+E78+E80</f>
        <v>45585000</v>
      </c>
      <c r="F69" s="731">
        <f>F70+F73+F78+F80</f>
        <v>43356461</v>
      </c>
      <c r="G69" s="732">
        <f t="shared" si="4"/>
        <v>0.9511124492705934</v>
      </c>
    </row>
    <row r="70" spans="1:7" s="694" customFormat="1" ht="19.5" customHeight="1">
      <c r="A70" s="733"/>
      <c r="B70" s="711">
        <v>75022</v>
      </c>
      <c r="C70" s="711" t="s">
        <v>647</v>
      </c>
      <c r="D70" s="712">
        <f>SUM(D71:D72)</f>
        <v>1190000</v>
      </c>
      <c r="E70" s="712">
        <f>SUM(E71:E72)</f>
        <v>1190000</v>
      </c>
      <c r="F70" s="712">
        <f>SUM(F71:F72)</f>
        <v>1127495</v>
      </c>
      <c r="G70" s="713">
        <f t="shared" si="4"/>
        <v>0.9474747899159663</v>
      </c>
    </row>
    <row r="71" spans="1:7" s="694" customFormat="1" ht="19.5" customHeight="1">
      <c r="A71" s="733"/>
      <c r="B71" s="733"/>
      <c r="C71" s="736" t="s">
        <v>648</v>
      </c>
      <c r="D71" s="726">
        <f>740000+50000</f>
        <v>790000</v>
      </c>
      <c r="E71" s="726">
        <v>790000</v>
      </c>
      <c r="F71" s="726">
        <v>754900</v>
      </c>
      <c r="G71" s="737">
        <f t="shared" si="4"/>
        <v>0.9555696202531646</v>
      </c>
    </row>
    <row r="72" spans="1:7" s="694" customFormat="1" ht="28.5" customHeight="1">
      <c r="A72" s="733"/>
      <c r="B72" s="738"/>
      <c r="C72" s="760" t="s">
        <v>649</v>
      </c>
      <c r="D72" s="761">
        <f>370000+30000</f>
        <v>400000</v>
      </c>
      <c r="E72" s="761">
        <v>400000</v>
      </c>
      <c r="F72" s="761">
        <v>372595</v>
      </c>
      <c r="G72" s="762">
        <f t="shared" si="4"/>
        <v>0.9314875</v>
      </c>
    </row>
    <row r="73" spans="1:7" s="694" customFormat="1" ht="19.5" customHeight="1">
      <c r="A73" s="733"/>
      <c r="B73" s="741">
        <v>75023</v>
      </c>
      <c r="C73" s="741" t="s">
        <v>337</v>
      </c>
      <c r="D73" s="742">
        <f>SUM(D74:D77)</f>
        <v>42880000</v>
      </c>
      <c r="E73" s="742">
        <f>SUM(E74:E77)</f>
        <v>42880000</v>
      </c>
      <c r="F73" s="742">
        <f>SUM(F74:F77)</f>
        <v>40932426</v>
      </c>
      <c r="G73" s="743">
        <f t="shared" si="4"/>
        <v>0.9545808302238806</v>
      </c>
    </row>
    <row r="74" spans="1:7" s="694" customFormat="1" ht="19.5" customHeight="1">
      <c r="A74" s="733"/>
      <c r="B74" s="733"/>
      <c r="C74" s="736" t="s">
        <v>650</v>
      </c>
      <c r="D74" s="726">
        <f>27010000+410000</f>
        <v>27420000</v>
      </c>
      <c r="E74" s="726">
        <v>27420000</v>
      </c>
      <c r="F74" s="726">
        <v>26693931</v>
      </c>
      <c r="G74" s="737">
        <f t="shared" si="4"/>
        <v>0.9735204595185996</v>
      </c>
    </row>
    <row r="75" spans="1:7" s="694" customFormat="1" ht="19.5" customHeight="1">
      <c r="A75" s="733"/>
      <c r="B75" s="733"/>
      <c r="C75" s="746" t="s">
        <v>651</v>
      </c>
      <c r="D75" s="747">
        <v>9400000</v>
      </c>
      <c r="E75" s="747">
        <v>9994600</v>
      </c>
      <c r="F75" s="747">
        <v>9006401</v>
      </c>
      <c r="G75" s="748">
        <f t="shared" si="4"/>
        <v>0.9011267084225482</v>
      </c>
    </row>
    <row r="76" spans="1:7" s="694" customFormat="1" ht="19.5" customHeight="1">
      <c r="A76" s="733"/>
      <c r="B76" s="733"/>
      <c r="C76" s="746" t="s">
        <v>652</v>
      </c>
      <c r="D76" s="747">
        <f>5370000+90000</f>
        <v>5460000</v>
      </c>
      <c r="E76" s="747">
        <v>5000000</v>
      </c>
      <c r="F76" s="747">
        <v>4978797</v>
      </c>
      <c r="G76" s="748">
        <f t="shared" si="4"/>
        <v>0.9957594</v>
      </c>
    </row>
    <row r="77" spans="1:7" s="694" customFormat="1" ht="19.5" customHeight="1">
      <c r="A77" s="733"/>
      <c r="B77" s="738"/>
      <c r="C77" s="738" t="s">
        <v>624</v>
      </c>
      <c r="D77" s="739">
        <v>600000</v>
      </c>
      <c r="E77" s="739">
        <v>465400</v>
      </c>
      <c r="F77" s="739">
        <v>253297</v>
      </c>
      <c r="G77" s="740">
        <f t="shared" si="4"/>
        <v>0.5442565535023636</v>
      </c>
    </row>
    <row r="78" spans="1:7" s="694" customFormat="1" ht="29.25" customHeight="1">
      <c r="A78" s="733"/>
      <c r="B78" s="763">
        <v>75047</v>
      </c>
      <c r="C78" s="757" t="s">
        <v>653</v>
      </c>
      <c r="D78" s="742">
        <f>D79</f>
        <v>380000</v>
      </c>
      <c r="E78" s="742">
        <f>E79</f>
        <v>380000</v>
      </c>
      <c r="F78" s="742">
        <f>F79</f>
        <v>213084</v>
      </c>
      <c r="G78" s="743">
        <f t="shared" si="4"/>
        <v>0.5607473684210527</v>
      </c>
    </row>
    <row r="79" spans="1:7" s="694" customFormat="1" ht="19.5" customHeight="1">
      <c r="A79" s="738"/>
      <c r="B79" s="744"/>
      <c r="C79" s="716" t="s">
        <v>654</v>
      </c>
      <c r="D79" s="717">
        <v>380000</v>
      </c>
      <c r="E79" s="717">
        <v>380000</v>
      </c>
      <c r="F79" s="717">
        <v>213084</v>
      </c>
      <c r="G79" s="718">
        <f t="shared" si="4"/>
        <v>0.5607473684210527</v>
      </c>
    </row>
    <row r="80" spans="1:7" s="694" customFormat="1" ht="19.5" customHeight="1">
      <c r="A80" s="733"/>
      <c r="B80" s="741">
        <v>75095</v>
      </c>
      <c r="C80" s="741" t="s">
        <v>314</v>
      </c>
      <c r="D80" s="742">
        <f>D81+D83</f>
        <v>885000</v>
      </c>
      <c r="E80" s="742">
        <f>E81+E83</f>
        <v>1135000</v>
      </c>
      <c r="F80" s="742">
        <f>F81+F83</f>
        <v>1083456</v>
      </c>
      <c r="G80" s="743">
        <f t="shared" si="4"/>
        <v>0.9545867841409692</v>
      </c>
    </row>
    <row r="81" spans="1:7" s="694" customFormat="1" ht="19.5" customHeight="1">
      <c r="A81" s="733"/>
      <c r="B81" s="735"/>
      <c r="C81" s="735" t="s">
        <v>655</v>
      </c>
      <c r="D81" s="764">
        <v>860000</v>
      </c>
      <c r="E81" s="764">
        <v>1110000</v>
      </c>
      <c r="F81" s="764">
        <v>1062214</v>
      </c>
      <c r="G81" s="765">
        <f t="shared" si="4"/>
        <v>0.9569495495495496</v>
      </c>
    </row>
    <row r="82" spans="1:7" s="719" customFormat="1" ht="17.25" customHeight="1">
      <c r="A82" s="715"/>
      <c r="B82" s="715"/>
      <c r="C82" s="766" t="s">
        <v>656</v>
      </c>
      <c r="D82" s="767"/>
      <c r="E82" s="767"/>
      <c r="F82" s="767"/>
      <c r="G82" s="768"/>
    </row>
    <row r="83" spans="1:7" s="694" customFormat="1" ht="29.25" customHeight="1">
      <c r="A83" s="738"/>
      <c r="B83" s="738"/>
      <c r="C83" s="760" t="s">
        <v>657</v>
      </c>
      <c r="D83" s="761">
        <v>25000</v>
      </c>
      <c r="E83" s="761">
        <v>25000</v>
      </c>
      <c r="F83" s="761">
        <v>21242</v>
      </c>
      <c r="G83" s="762">
        <f>F83/E83</f>
        <v>0.84968</v>
      </c>
    </row>
    <row r="84" spans="1:7" s="694" customFormat="1" ht="19.5" customHeight="1">
      <c r="A84" s="769">
        <v>754</v>
      </c>
      <c r="B84" s="706"/>
      <c r="C84" s="770" t="s">
        <v>344</v>
      </c>
      <c r="D84" s="707">
        <f>D85+D87+D89+D91+D96</f>
        <v>4521000</v>
      </c>
      <c r="E84" s="707">
        <f>E85+E87+E89+E91+E96</f>
        <v>4521000</v>
      </c>
      <c r="F84" s="707">
        <f>F85+F87+F89+F91+F96</f>
        <v>3828156</v>
      </c>
      <c r="G84" s="708">
        <f>F84/E84</f>
        <v>0.8467498341074984</v>
      </c>
    </row>
    <row r="85" spans="1:7" s="694" customFormat="1" ht="19.5" customHeight="1">
      <c r="A85" s="733"/>
      <c r="B85" s="711">
        <v>75405</v>
      </c>
      <c r="C85" s="711" t="s">
        <v>658</v>
      </c>
      <c r="D85" s="712">
        <f>D86</f>
        <v>400000</v>
      </c>
      <c r="E85" s="712"/>
      <c r="F85" s="712"/>
      <c r="G85" s="713"/>
    </row>
    <row r="86" spans="1:7" s="694" customFormat="1" ht="28.5" customHeight="1">
      <c r="A86" s="733"/>
      <c r="B86" s="744"/>
      <c r="C86" s="716" t="s">
        <v>659</v>
      </c>
      <c r="D86" s="717">
        <v>400000</v>
      </c>
      <c r="E86" s="717"/>
      <c r="F86" s="717"/>
      <c r="G86" s="718"/>
    </row>
    <row r="87" spans="1:7" s="694" customFormat="1" ht="19.5" customHeight="1">
      <c r="A87" s="733"/>
      <c r="B87" s="741">
        <v>75411</v>
      </c>
      <c r="C87" s="741" t="s">
        <v>564</v>
      </c>
      <c r="D87" s="742">
        <f>D88</f>
        <v>100000</v>
      </c>
      <c r="E87" s="742">
        <f>E88</f>
        <v>100000</v>
      </c>
      <c r="F87" s="742">
        <f>F88</f>
        <v>100000</v>
      </c>
      <c r="G87" s="743">
        <f aca="true" t="shared" si="5" ref="G87:G102">F87/E87</f>
        <v>1</v>
      </c>
    </row>
    <row r="88" spans="1:7" s="694" customFormat="1" ht="19.5" customHeight="1">
      <c r="A88" s="733"/>
      <c r="B88" s="744"/>
      <c r="C88" s="744" t="s">
        <v>660</v>
      </c>
      <c r="D88" s="717">
        <v>100000</v>
      </c>
      <c r="E88" s="717">
        <v>100000</v>
      </c>
      <c r="F88" s="717">
        <v>100000</v>
      </c>
      <c r="G88" s="718">
        <f t="shared" si="5"/>
        <v>1</v>
      </c>
    </row>
    <row r="89" spans="1:7" s="714" customFormat="1" ht="19.5" customHeight="1">
      <c r="A89" s="709"/>
      <c r="B89" s="741">
        <v>75412</v>
      </c>
      <c r="C89" s="741" t="s">
        <v>661</v>
      </c>
      <c r="D89" s="742">
        <f>D90</f>
        <v>35000</v>
      </c>
      <c r="E89" s="742">
        <f>E90</f>
        <v>35000</v>
      </c>
      <c r="F89" s="742">
        <f>F90</f>
        <v>33932</v>
      </c>
      <c r="G89" s="743">
        <f t="shared" si="5"/>
        <v>0.9694857142857143</v>
      </c>
    </row>
    <row r="90" spans="1:7" s="694" customFormat="1" ht="28.5" customHeight="1">
      <c r="A90" s="733"/>
      <c r="B90" s="744"/>
      <c r="C90" s="716" t="s">
        <v>662</v>
      </c>
      <c r="D90" s="717">
        <v>35000</v>
      </c>
      <c r="E90" s="717">
        <v>35000</v>
      </c>
      <c r="F90" s="717">
        <v>33932</v>
      </c>
      <c r="G90" s="718">
        <f t="shared" si="5"/>
        <v>0.9694857142857143</v>
      </c>
    </row>
    <row r="91" spans="1:7" s="714" customFormat="1" ht="19.5" customHeight="1">
      <c r="A91" s="709"/>
      <c r="B91" s="741">
        <v>75416</v>
      </c>
      <c r="C91" s="741" t="s">
        <v>345</v>
      </c>
      <c r="D91" s="742">
        <f>SUM(D92:D95)</f>
        <v>3836000</v>
      </c>
      <c r="E91" s="742">
        <f>SUM(E92:E95)</f>
        <v>3836000</v>
      </c>
      <c r="F91" s="742">
        <f>SUM(F92:F95)</f>
        <v>3683944</v>
      </c>
      <c r="G91" s="743">
        <f t="shared" si="5"/>
        <v>0.9603607924921793</v>
      </c>
    </row>
    <row r="92" spans="1:7" s="694" customFormat="1" ht="19.5" customHeight="1">
      <c r="A92" s="733"/>
      <c r="B92" s="733"/>
      <c r="C92" s="736" t="s">
        <v>650</v>
      </c>
      <c r="D92" s="726">
        <v>2800000</v>
      </c>
      <c r="E92" s="726">
        <v>2800000</v>
      </c>
      <c r="F92" s="726">
        <v>2668328</v>
      </c>
      <c r="G92" s="737">
        <f t="shared" si="5"/>
        <v>0.9529742857142857</v>
      </c>
    </row>
    <row r="93" spans="1:7" s="694" customFormat="1" ht="19.5" customHeight="1">
      <c r="A93" s="733"/>
      <c r="B93" s="733"/>
      <c r="C93" s="746" t="s">
        <v>651</v>
      </c>
      <c r="D93" s="747">
        <v>471000</v>
      </c>
      <c r="E93" s="747">
        <v>491900</v>
      </c>
      <c r="F93" s="747">
        <v>471898</v>
      </c>
      <c r="G93" s="748">
        <f t="shared" si="5"/>
        <v>0.959337263671478</v>
      </c>
    </row>
    <row r="94" spans="1:7" s="694" customFormat="1" ht="19.5" customHeight="1">
      <c r="A94" s="733"/>
      <c r="B94" s="733"/>
      <c r="C94" s="746" t="s">
        <v>652</v>
      </c>
      <c r="D94" s="747">
        <v>565000</v>
      </c>
      <c r="E94" s="747">
        <v>532100</v>
      </c>
      <c r="F94" s="747">
        <v>531738</v>
      </c>
      <c r="G94" s="748">
        <f t="shared" si="5"/>
        <v>0.9993196767524901</v>
      </c>
    </row>
    <row r="95" spans="1:7" s="694" customFormat="1" ht="19.5" customHeight="1">
      <c r="A95" s="733"/>
      <c r="B95" s="771"/>
      <c r="C95" s="758" t="s">
        <v>624</v>
      </c>
      <c r="D95" s="739"/>
      <c r="E95" s="739">
        <v>12000</v>
      </c>
      <c r="F95" s="739">
        <v>11980</v>
      </c>
      <c r="G95" s="740">
        <f t="shared" si="5"/>
        <v>0.9983333333333333</v>
      </c>
    </row>
    <row r="96" spans="1:7" s="694" customFormat="1" ht="19.5" customHeight="1">
      <c r="A96" s="733"/>
      <c r="B96" s="741">
        <v>75495</v>
      </c>
      <c r="C96" s="741" t="s">
        <v>314</v>
      </c>
      <c r="D96" s="742">
        <f>D97</f>
        <v>150000</v>
      </c>
      <c r="E96" s="742">
        <f>E97</f>
        <v>550000</v>
      </c>
      <c r="F96" s="742">
        <f>F97</f>
        <v>10280</v>
      </c>
      <c r="G96" s="743">
        <f t="shared" si="5"/>
        <v>0.01869090909090909</v>
      </c>
    </row>
    <row r="97" spans="1:7" s="694" customFormat="1" ht="19.5" customHeight="1">
      <c r="A97" s="738"/>
      <c r="B97" s="744"/>
      <c r="C97" s="744" t="s">
        <v>663</v>
      </c>
      <c r="D97" s="717">
        <v>150000</v>
      </c>
      <c r="E97" s="717">
        <v>550000</v>
      </c>
      <c r="F97" s="717">
        <v>10280</v>
      </c>
      <c r="G97" s="718">
        <f t="shared" si="5"/>
        <v>0.01869090909090909</v>
      </c>
    </row>
    <row r="98" spans="1:7" s="694" customFormat="1" ht="19.5" customHeight="1">
      <c r="A98" s="706">
        <v>757</v>
      </c>
      <c r="B98" s="706"/>
      <c r="C98" s="706" t="s">
        <v>664</v>
      </c>
      <c r="D98" s="707">
        <f>D99</f>
        <v>10900000</v>
      </c>
      <c r="E98" s="707">
        <f>E99</f>
        <v>11077000</v>
      </c>
      <c r="F98" s="707">
        <f>F99</f>
        <v>10629134</v>
      </c>
      <c r="G98" s="708">
        <f t="shared" si="5"/>
        <v>0.959567933556017</v>
      </c>
    </row>
    <row r="99" spans="1:7" s="694" customFormat="1" ht="29.25" customHeight="1">
      <c r="A99" s="733"/>
      <c r="B99" s="772">
        <v>75702</v>
      </c>
      <c r="C99" s="773" t="s">
        <v>665</v>
      </c>
      <c r="D99" s="712">
        <f>SUM(D100:D102)</f>
        <v>10900000</v>
      </c>
      <c r="E99" s="712">
        <f>SUM(E100:E102)</f>
        <v>11077000</v>
      </c>
      <c r="F99" s="712">
        <f>SUM(F100:F102)</f>
        <v>10629134</v>
      </c>
      <c r="G99" s="713">
        <f t="shared" si="5"/>
        <v>0.959567933556017</v>
      </c>
    </row>
    <row r="100" spans="1:7" s="694" customFormat="1" ht="28.5" customHeight="1">
      <c r="A100" s="733"/>
      <c r="B100" s="733"/>
      <c r="C100" s="759" t="s">
        <v>666</v>
      </c>
      <c r="D100" s="726">
        <v>85000</v>
      </c>
      <c r="E100" s="726">
        <v>45000</v>
      </c>
      <c r="F100" s="726">
        <v>1795</v>
      </c>
      <c r="G100" s="737">
        <f t="shared" si="5"/>
        <v>0.03988888888888889</v>
      </c>
    </row>
    <row r="101" spans="1:7" s="694" customFormat="1" ht="19.5" customHeight="1">
      <c r="A101" s="733"/>
      <c r="B101" s="733"/>
      <c r="C101" s="746" t="s">
        <v>667</v>
      </c>
      <c r="D101" s="747">
        <v>10550000</v>
      </c>
      <c r="E101" s="747">
        <v>10550000</v>
      </c>
      <c r="F101" s="747">
        <v>10248420</v>
      </c>
      <c r="G101" s="748">
        <f t="shared" si="5"/>
        <v>0.9714142180094787</v>
      </c>
    </row>
    <row r="102" spans="1:7" s="694" customFormat="1" ht="19.5" customHeight="1">
      <c r="A102" s="738"/>
      <c r="B102" s="738"/>
      <c r="C102" s="760" t="s">
        <v>668</v>
      </c>
      <c r="D102" s="761">
        <v>265000</v>
      </c>
      <c r="E102" s="761">
        <v>482000</v>
      </c>
      <c r="F102" s="761">
        <v>378919</v>
      </c>
      <c r="G102" s="762">
        <f t="shared" si="5"/>
        <v>0.7861390041493775</v>
      </c>
    </row>
    <row r="103" spans="1:7" s="694" customFormat="1" ht="43.5" customHeight="1">
      <c r="A103" s="774"/>
      <c r="B103" s="774"/>
      <c r="C103" s="775"/>
      <c r="D103" s="776"/>
      <c r="E103" s="776"/>
      <c r="F103" s="776"/>
      <c r="G103" s="777"/>
    </row>
    <row r="104" spans="1:7" s="694" customFormat="1" ht="19.5" customHeight="1">
      <c r="A104" s="706">
        <v>758</v>
      </c>
      <c r="B104" s="706"/>
      <c r="C104" s="706" t="s">
        <v>380</v>
      </c>
      <c r="D104" s="707">
        <f>D105+D108</f>
        <v>6274677</v>
      </c>
      <c r="E104" s="707">
        <f>E105+E108</f>
        <v>2651639</v>
      </c>
      <c r="F104" s="707">
        <f>F105+F108</f>
        <v>255</v>
      </c>
      <c r="G104" s="708">
        <f>F104/E104</f>
        <v>9.616693675119426E-05</v>
      </c>
    </row>
    <row r="105" spans="1:7" s="694" customFormat="1" ht="19.5" customHeight="1">
      <c r="A105" s="733"/>
      <c r="B105" s="711">
        <v>75818</v>
      </c>
      <c r="C105" s="711" t="s">
        <v>669</v>
      </c>
      <c r="D105" s="712">
        <f>SUM(D106:D107)</f>
        <v>6224677</v>
      </c>
      <c r="E105" s="712">
        <f>SUM(E106:E107)</f>
        <v>2601639</v>
      </c>
      <c r="F105" s="712"/>
      <c r="G105" s="713"/>
    </row>
    <row r="106" spans="1:7" s="694" customFormat="1" ht="20.25" customHeight="1">
      <c r="A106" s="733"/>
      <c r="B106" s="733"/>
      <c r="C106" s="759" t="s">
        <v>670</v>
      </c>
      <c r="D106" s="726">
        <f>5565894-10000+568000+783</f>
        <v>6124677</v>
      </c>
      <c r="E106" s="726">
        <v>2501639</v>
      </c>
      <c r="F106" s="726"/>
      <c r="G106" s="737"/>
    </row>
    <row r="107" spans="1:7" s="694" customFormat="1" ht="29.25" customHeight="1">
      <c r="A107" s="733"/>
      <c r="B107" s="738"/>
      <c r="C107" s="760" t="s">
        <v>671</v>
      </c>
      <c r="D107" s="761">
        <v>100000</v>
      </c>
      <c r="E107" s="761">
        <v>100000</v>
      </c>
      <c r="F107" s="761"/>
      <c r="G107" s="762"/>
    </row>
    <row r="108" spans="1:7" s="694" customFormat="1" ht="19.5" customHeight="1">
      <c r="A108" s="733"/>
      <c r="B108" s="741">
        <v>75820</v>
      </c>
      <c r="C108" s="741" t="s">
        <v>672</v>
      </c>
      <c r="D108" s="742">
        <f>D109</f>
        <v>50000</v>
      </c>
      <c r="E108" s="742">
        <f>E109</f>
        <v>50000</v>
      </c>
      <c r="F108" s="742">
        <f>F109</f>
        <v>255</v>
      </c>
      <c r="G108" s="743">
        <f aca="true" t="shared" si="6" ref="G108:G132">F108/E108</f>
        <v>0.0051</v>
      </c>
    </row>
    <row r="109" spans="1:7" s="694" customFormat="1" ht="19.5" customHeight="1">
      <c r="A109" s="738"/>
      <c r="B109" s="738"/>
      <c r="C109" s="738" t="s">
        <v>673</v>
      </c>
      <c r="D109" s="739">
        <v>50000</v>
      </c>
      <c r="E109" s="739">
        <v>50000</v>
      </c>
      <c r="F109" s="739">
        <v>255</v>
      </c>
      <c r="G109" s="740">
        <f t="shared" si="6"/>
        <v>0.0051</v>
      </c>
    </row>
    <row r="110" spans="1:7" s="694" customFormat="1" ht="18" customHeight="1">
      <c r="A110" s="706">
        <v>801</v>
      </c>
      <c r="B110" s="706"/>
      <c r="C110" s="706" t="s">
        <v>386</v>
      </c>
      <c r="D110" s="707">
        <f>D111+D118+D122+D126+D132+D136+D138+D144+D148+D153+D159+D163+D167+D169+D171+D177</f>
        <v>246268675</v>
      </c>
      <c r="E110" s="707">
        <f>E111+E118+E122+E126+E132+E136+E138+E144+E148+E153+E159+E163+E167+E169+E171+E177</f>
        <v>251524588</v>
      </c>
      <c r="F110" s="707">
        <f>F111+F118+F122+F126+F132+F136+F138+F144+F148+F153+F159+F163+F167+F169+F171+F177</f>
        <v>247680775</v>
      </c>
      <c r="G110" s="708">
        <f t="shared" si="6"/>
        <v>0.9847179433606705</v>
      </c>
    </row>
    <row r="111" spans="1:7" s="694" customFormat="1" ht="20.25" customHeight="1">
      <c r="A111" s="733"/>
      <c r="B111" s="711">
        <v>80101</v>
      </c>
      <c r="C111" s="711" t="s">
        <v>387</v>
      </c>
      <c r="D111" s="712">
        <f>SUM(D112:D117)</f>
        <v>81881000</v>
      </c>
      <c r="E111" s="712">
        <f>SUM(E112:E117)</f>
        <v>83315153</v>
      </c>
      <c r="F111" s="712">
        <f>SUM(F112:F117)</f>
        <v>82325468</v>
      </c>
      <c r="G111" s="713">
        <f t="shared" si="6"/>
        <v>0.9881211884709615</v>
      </c>
    </row>
    <row r="112" spans="1:7" s="694" customFormat="1" ht="18.75" customHeight="1">
      <c r="A112" s="733"/>
      <c r="B112" s="733"/>
      <c r="C112" s="736" t="s">
        <v>650</v>
      </c>
      <c r="D112" s="726">
        <f>55041000-250000</f>
        <v>54791000</v>
      </c>
      <c r="E112" s="726">
        <v>55562390</v>
      </c>
      <c r="F112" s="726">
        <v>55413543</v>
      </c>
      <c r="G112" s="737">
        <f t="shared" si="6"/>
        <v>0.9973210835603004</v>
      </c>
    </row>
    <row r="113" spans="1:7" s="694" customFormat="1" ht="18.75" customHeight="1">
      <c r="A113" s="733"/>
      <c r="B113" s="733"/>
      <c r="C113" s="746" t="s">
        <v>651</v>
      </c>
      <c r="D113" s="747">
        <v>11478000</v>
      </c>
      <c r="E113" s="747">
        <v>11946369</v>
      </c>
      <c r="F113" s="747">
        <v>11558861</v>
      </c>
      <c r="G113" s="748">
        <f t="shared" si="6"/>
        <v>0.967562696246868</v>
      </c>
    </row>
    <row r="114" spans="1:7" s="694" customFormat="1" ht="18.75" customHeight="1">
      <c r="A114" s="733"/>
      <c r="B114" s="733"/>
      <c r="C114" s="745" t="s">
        <v>652</v>
      </c>
      <c r="D114" s="727">
        <v>10900000</v>
      </c>
      <c r="E114" s="727">
        <v>10806815</v>
      </c>
      <c r="F114" s="727">
        <v>10756725</v>
      </c>
      <c r="G114" s="728">
        <f t="shared" si="6"/>
        <v>0.9953649618319551</v>
      </c>
    </row>
    <row r="115" spans="1:7" s="694" customFormat="1" ht="18.75" customHeight="1">
      <c r="A115" s="733"/>
      <c r="B115" s="733"/>
      <c r="C115" s="746" t="s">
        <v>674</v>
      </c>
      <c r="D115" s="747">
        <v>350000</v>
      </c>
      <c r="E115" s="747">
        <v>327007</v>
      </c>
      <c r="F115" s="747">
        <v>323887</v>
      </c>
      <c r="G115" s="748">
        <f t="shared" si="6"/>
        <v>0.9904589198396364</v>
      </c>
    </row>
    <row r="116" spans="1:7" s="694" customFormat="1" ht="18.75" customHeight="1">
      <c r="A116" s="733"/>
      <c r="B116" s="733"/>
      <c r="C116" s="746" t="s">
        <v>675</v>
      </c>
      <c r="D116" s="747">
        <v>1000000</v>
      </c>
      <c r="E116" s="747">
        <v>901850</v>
      </c>
      <c r="F116" s="747">
        <v>823854</v>
      </c>
      <c r="G116" s="748">
        <f t="shared" si="6"/>
        <v>0.9135155513666352</v>
      </c>
    </row>
    <row r="117" spans="1:7" s="694" customFormat="1" ht="18.75" customHeight="1">
      <c r="A117" s="733"/>
      <c r="B117" s="738"/>
      <c r="C117" s="738" t="s">
        <v>624</v>
      </c>
      <c r="D117" s="739">
        <f>2962000+400000</f>
        <v>3362000</v>
      </c>
      <c r="E117" s="739">
        <v>3770722</v>
      </c>
      <c r="F117" s="739">
        <v>3448598</v>
      </c>
      <c r="G117" s="740">
        <f t="shared" si="6"/>
        <v>0.9145723285885302</v>
      </c>
    </row>
    <row r="118" spans="1:7" s="694" customFormat="1" ht="19.5" customHeight="1">
      <c r="A118" s="733"/>
      <c r="B118" s="711">
        <v>80102</v>
      </c>
      <c r="C118" s="711" t="s">
        <v>509</v>
      </c>
      <c r="D118" s="712">
        <f>SUM(D119:D121)</f>
        <v>5735000</v>
      </c>
      <c r="E118" s="712">
        <f>SUM(E119:E121)</f>
        <v>5927000</v>
      </c>
      <c r="F118" s="712">
        <f>SUM(F119:F121)</f>
        <v>5880455</v>
      </c>
      <c r="G118" s="713">
        <f t="shared" si="6"/>
        <v>0.9921469546144761</v>
      </c>
    </row>
    <row r="119" spans="1:7" s="694" customFormat="1" ht="18.75" customHeight="1">
      <c r="A119" s="733"/>
      <c r="B119" s="733"/>
      <c r="C119" s="736" t="s">
        <v>650</v>
      </c>
      <c r="D119" s="726">
        <v>4366000</v>
      </c>
      <c r="E119" s="726">
        <v>4520500</v>
      </c>
      <c r="F119" s="726">
        <v>4490652</v>
      </c>
      <c r="G119" s="737">
        <f t="shared" si="6"/>
        <v>0.9933971905762636</v>
      </c>
    </row>
    <row r="120" spans="1:7" s="694" customFormat="1" ht="18.75" customHeight="1">
      <c r="A120" s="733"/>
      <c r="B120" s="733"/>
      <c r="C120" s="746" t="s">
        <v>651</v>
      </c>
      <c r="D120" s="747">
        <v>499000</v>
      </c>
      <c r="E120" s="747">
        <v>516725</v>
      </c>
      <c r="F120" s="747">
        <v>506573</v>
      </c>
      <c r="G120" s="748">
        <f t="shared" si="6"/>
        <v>0.9803531859306207</v>
      </c>
    </row>
    <row r="121" spans="1:7" s="694" customFormat="1" ht="18.75" customHeight="1">
      <c r="A121" s="733"/>
      <c r="B121" s="733"/>
      <c r="C121" s="746" t="s">
        <v>652</v>
      </c>
      <c r="D121" s="747">
        <v>870000</v>
      </c>
      <c r="E121" s="747">
        <v>889775</v>
      </c>
      <c r="F121" s="747">
        <v>883230</v>
      </c>
      <c r="G121" s="748">
        <f t="shared" si="6"/>
        <v>0.992644207805344</v>
      </c>
    </row>
    <row r="122" spans="1:7" s="694" customFormat="1" ht="19.5" customHeight="1">
      <c r="A122" s="733"/>
      <c r="B122" s="711">
        <v>80104</v>
      </c>
      <c r="C122" s="711" t="s">
        <v>389</v>
      </c>
      <c r="D122" s="712">
        <f>SUM(D123:D125)</f>
        <v>1183000</v>
      </c>
      <c r="E122" s="712">
        <f>SUM(E123:E125)</f>
        <v>1290606</v>
      </c>
      <c r="F122" s="712">
        <f>SUM(F123:F125)</f>
        <v>1282058</v>
      </c>
      <c r="G122" s="713">
        <f t="shared" si="6"/>
        <v>0.9933767547958091</v>
      </c>
    </row>
    <row r="123" spans="1:7" s="694" customFormat="1" ht="18.75" customHeight="1">
      <c r="A123" s="733"/>
      <c r="B123" s="733"/>
      <c r="C123" s="736" t="s">
        <v>650</v>
      </c>
      <c r="D123" s="726">
        <v>880000</v>
      </c>
      <c r="E123" s="726">
        <v>956841</v>
      </c>
      <c r="F123" s="726">
        <v>954001</v>
      </c>
      <c r="G123" s="737">
        <f t="shared" si="6"/>
        <v>0.9970318997618204</v>
      </c>
    </row>
    <row r="124" spans="1:7" s="694" customFormat="1" ht="18.75" customHeight="1">
      <c r="A124" s="733"/>
      <c r="B124" s="733"/>
      <c r="C124" s="746" t="s">
        <v>651</v>
      </c>
      <c r="D124" s="747">
        <v>123000</v>
      </c>
      <c r="E124" s="747">
        <v>138799</v>
      </c>
      <c r="F124" s="747">
        <v>136058</v>
      </c>
      <c r="G124" s="748">
        <f t="shared" si="6"/>
        <v>0.9802520191067658</v>
      </c>
    </row>
    <row r="125" spans="1:7" s="694" customFormat="1" ht="18.75" customHeight="1">
      <c r="A125" s="733"/>
      <c r="B125" s="738"/>
      <c r="C125" s="778" t="s">
        <v>652</v>
      </c>
      <c r="D125" s="761">
        <v>180000</v>
      </c>
      <c r="E125" s="761">
        <v>194966</v>
      </c>
      <c r="F125" s="761">
        <v>191999</v>
      </c>
      <c r="G125" s="762">
        <f t="shared" si="6"/>
        <v>0.984781961983115</v>
      </c>
    </row>
    <row r="126" spans="1:7" s="714" customFormat="1" ht="19.5" customHeight="1">
      <c r="A126" s="709"/>
      <c r="B126" s="741">
        <v>80110</v>
      </c>
      <c r="C126" s="741" t="s">
        <v>391</v>
      </c>
      <c r="D126" s="742">
        <f>SUM(D127:D131)</f>
        <v>47251000</v>
      </c>
      <c r="E126" s="742">
        <f>SUM(E127:E131)</f>
        <v>47835228</v>
      </c>
      <c r="F126" s="742">
        <f>SUM(F127:F131)</f>
        <v>46693507</v>
      </c>
      <c r="G126" s="743">
        <f t="shared" si="6"/>
        <v>0.9761322136898772</v>
      </c>
    </row>
    <row r="127" spans="1:7" s="694" customFormat="1" ht="18.75" customHeight="1">
      <c r="A127" s="733"/>
      <c r="B127" s="733"/>
      <c r="C127" s="736" t="s">
        <v>650</v>
      </c>
      <c r="D127" s="726">
        <f>30817000-820000</f>
        <v>29997000</v>
      </c>
      <c r="E127" s="726">
        <v>30216212</v>
      </c>
      <c r="F127" s="726">
        <v>30130288</v>
      </c>
      <c r="G127" s="737">
        <f t="shared" si="6"/>
        <v>0.9971563609627838</v>
      </c>
    </row>
    <row r="128" spans="1:7" s="694" customFormat="1" ht="18.75" customHeight="1">
      <c r="A128" s="733"/>
      <c r="B128" s="733"/>
      <c r="C128" s="746" t="s">
        <v>651</v>
      </c>
      <c r="D128" s="747">
        <f>6334000+100000</f>
        <v>6434000</v>
      </c>
      <c r="E128" s="747">
        <v>6471608</v>
      </c>
      <c r="F128" s="747">
        <v>6413650</v>
      </c>
      <c r="G128" s="748">
        <f t="shared" si="6"/>
        <v>0.9910442659691379</v>
      </c>
    </row>
    <row r="129" spans="1:7" s="694" customFormat="1" ht="18.75" customHeight="1">
      <c r="A129" s="733"/>
      <c r="B129" s="733"/>
      <c r="C129" s="746" t="s">
        <v>652</v>
      </c>
      <c r="D129" s="747">
        <f>6300000-80000</f>
        <v>6220000</v>
      </c>
      <c r="E129" s="747">
        <v>5891000</v>
      </c>
      <c r="F129" s="747">
        <v>5881868</v>
      </c>
      <c r="G129" s="748">
        <f t="shared" si="6"/>
        <v>0.9984498387370565</v>
      </c>
    </row>
    <row r="130" spans="1:7" s="694" customFormat="1" ht="19.5" customHeight="1">
      <c r="A130" s="733"/>
      <c r="B130" s="733"/>
      <c r="C130" s="746" t="s">
        <v>676</v>
      </c>
      <c r="D130" s="747">
        <v>1700000</v>
      </c>
      <c r="E130" s="747">
        <v>2053782</v>
      </c>
      <c r="F130" s="747">
        <v>1940656</v>
      </c>
      <c r="G130" s="748">
        <f t="shared" si="6"/>
        <v>0.9449182045611462</v>
      </c>
    </row>
    <row r="131" spans="1:7" s="694" customFormat="1" ht="19.5" customHeight="1">
      <c r="A131" s="738"/>
      <c r="B131" s="738"/>
      <c r="C131" s="738" t="s">
        <v>624</v>
      </c>
      <c r="D131" s="739">
        <f>1400000+1500000</f>
        <v>2900000</v>
      </c>
      <c r="E131" s="739">
        <v>3202626</v>
      </c>
      <c r="F131" s="739">
        <v>2327045</v>
      </c>
      <c r="G131" s="740">
        <f t="shared" si="6"/>
        <v>0.726605292032226</v>
      </c>
    </row>
    <row r="132" spans="1:7" s="714" customFormat="1" ht="19.5" customHeight="1">
      <c r="A132" s="709"/>
      <c r="B132" s="741">
        <v>80111</v>
      </c>
      <c r="C132" s="741" t="s">
        <v>510</v>
      </c>
      <c r="D132" s="742">
        <f>SUM(D133:D135)</f>
        <v>3119000</v>
      </c>
      <c r="E132" s="742">
        <f>SUM(E133:E135)</f>
        <v>3505390</v>
      </c>
      <c r="F132" s="742">
        <f>SUM(F133:F135)</f>
        <v>3493796</v>
      </c>
      <c r="G132" s="743">
        <f t="shared" si="6"/>
        <v>0.996692522087414</v>
      </c>
    </row>
    <row r="133" spans="1:7" s="694" customFormat="1" ht="19.5" customHeight="1">
      <c r="A133" s="733"/>
      <c r="B133" s="733"/>
      <c r="C133" s="736" t="s">
        <v>650</v>
      </c>
      <c r="D133" s="726">
        <v>2300000</v>
      </c>
      <c r="E133" s="726">
        <v>2685565</v>
      </c>
      <c r="F133" s="726">
        <v>2685502</v>
      </c>
      <c r="G133" s="737">
        <v>0.9999</v>
      </c>
    </row>
    <row r="134" spans="1:7" s="694" customFormat="1" ht="19.5" customHeight="1">
      <c r="A134" s="733"/>
      <c r="B134" s="733"/>
      <c r="C134" s="746" t="s">
        <v>651</v>
      </c>
      <c r="D134" s="747">
        <v>339000</v>
      </c>
      <c r="E134" s="747">
        <v>318773</v>
      </c>
      <c r="F134" s="747">
        <v>307614</v>
      </c>
      <c r="G134" s="748">
        <f aca="true" t="shared" si="7" ref="G134:G144">F134/E134</f>
        <v>0.9649938984794822</v>
      </c>
    </row>
    <row r="135" spans="1:7" s="694" customFormat="1" ht="19.5" customHeight="1">
      <c r="A135" s="733"/>
      <c r="B135" s="738"/>
      <c r="C135" s="738" t="s">
        <v>652</v>
      </c>
      <c r="D135" s="739">
        <v>480000</v>
      </c>
      <c r="E135" s="739">
        <v>501052</v>
      </c>
      <c r="F135" s="739">
        <v>500680</v>
      </c>
      <c r="G135" s="740">
        <f t="shared" si="7"/>
        <v>0.999257562089364</v>
      </c>
    </row>
    <row r="136" spans="1:7" s="714" customFormat="1" ht="19.5" customHeight="1">
      <c r="A136" s="709"/>
      <c r="B136" s="741">
        <v>80113</v>
      </c>
      <c r="C136" s="741" t="s">
        <v>677</v>
      </c>
      <c r="D136" s="742">
        <f>D137</f>
        <v>270000</v>
      </c>
      <c r="E136" s="742">
        <f>E137</f>
        <v>341889</v>
      </c>
      <c r="F136" s="742">
        <f>F137</f>
        <v>337087</v>
      </c>
      <c r="G136" s="743">
        <f t="shared" si="7"/>
        <v>0.985954505702143</v>
      </c>
    </row>
    <row r="137" spans="1:7" s="694" customFormat="1" ht="19.5" customHeight="1">
      <c r="A137" s="733"/>
      <c r="B137" s="744"/>
      <c r="C137" s="744" t="s">
        <v>678</v>
      </c>
      <c r="D137" s="717">
        <v>270000</v>
      </c>
      <c r="E137" s="717">
        <v>341889</v>
      </c>
      <c r="F137" s="717">
        <v>337087</v>
      </c>
      <c r="G137" s="718">
        <f t="shared" si="7"/>
        <v>0.985954505702143</v>
      </c>
    </row>
    <row r="138" spans="1:7" s="714" customFormat="1" ht="19.5" customHeight="1">
      <c r="A138" s="709"/>
      <c r="B138" s="741">
        <v>80120</v>
      </c>
      <c r="C138" s="741" t="s">
        <v>511</v>
      </c>
      <c r="D138" s="742">
        <f>SUM(D139:D143)</f>
        <v>38192000</v>
      </c>
      <c r="E138" s="742">
        <f>SUM(E139:E143)</f>
        <v>39526364</v>
      </c>
      <c r="F138" s="742">
        <f>SUM(F139:F143)</f>
        <v>38789797</v>
      </c>
      <c r="G138" s="743">
        <f t="shared" si="7"/>
        <v>0.9813651718635188</v>
      </c>
    </row>
    <row r="139" spans="1:7" s="694" customFormat="1" ht="19.5" customHeight="1">
      <c r="A139" s="733"/>
      <c r="B139" s="733"/>
      <c r="C139" s="736" t="s">
        <v>650</v>
      </c>
      <c r="D139" s="726">
        <f>24700000-200000</f>
        <v>24500000</v>
      </c>
      <c r="E139" s="726">
        <v>25579989</v>
      </c>
      <c r="F139" s="726">
        <v>25498301</v>
      </c>
      <c r="G139" s="737">
        <f t="shared" si="7"/>
        <v>0.9968065662577102</v>
      </c>
    </row>
    <row r="140" spans="1:7" s="694" customFormat="1" ht="19.5" customHeight="1">
      <c r="A140" s="733"/>
      <c r="B140" s="733"/>
      <c r="C140" s="746" t="s">
        <v>651</v>
      </c>
      <c r="D140" s="747">
        <f>4502000+100000</f>
        <v>4602000</v>
      </c>
      <c r="E140" s="747">
        <v>5175186</v>
      </c>
      <c r="F140" s="747">
        <v>4711226</v>
      </c>
      <c r="G140" s="748">
        <f t="shared" si="7"/>
        <v>0.9103491159544796</v>
      </c>
    </row>
    <row r="141" spans="1:7" s="694" customFormat="1" ht="19.5" customHeight="1">
      <c r="A141" s="733"/>
      <c r="B141" s="733"/>
      <c r="C141" s="746" t="s">
        <v>652</v>
      </c>
      <c r="D141" s="747">
        <v>4990000</v>
      </c>
      <c r="E141" s="747">
        <v>4995390</v>
      </c>
      <c r="F141" s="747">
        <v>4987233</v>
      </c>
      <c r="G141" s="748">
        <f t="shared" si="7"/>
        <v>0.9983670944610932</v>
      </c>
    </row>
    <row r="142" spans="1:7" s="694" customFormat="1" ht="20.25" customHeight="1">
      <c r="A142" s="733"/>
      <c r="B142" s="733"/>
      <c r="C142" s="779" t="s">
        <v>679</v>
      </c>
      <c r="D142" s="747">
        <v>4100000</v>
      </c>
      <c r="E142" s="747">
        <v>3746644</v>
      </c>
      <c r="F142" s="747">
        <v>3572118</v>
      </c>
      <c r="G142" s="748">
        <f t="shared" si="7"/>
        <v>0.9534180455895996</v>
      </c>
    </row>
    <row r="143" spans="1:7" s="694" customFormat="1" ht="19.5" customHeight="1">
      <c r="A143" s="733"/>
      <c r="B143" s="738"/>
      <c r="C143" s="738" t="s">
        <v>624</v>
      </c>
      <c r="D143" s="739"/>
      <c r="E143" s="739">
        <v>29155</v>
      </c>
      <c r="F143" s="739">
        <v>20919</v>
      </c>
      <c r="G143" s="740">
        <f t="shared" si="7"/>
        <v>0.7175098610872921</v>
      </c>
    </row>
    <row r="144" spans="1:7" s="714" customFormat="1" ht="19.5" customHeight="1">
      <c r="A144" s="709"/>
      <c r="B144" s="741">
        <v>80121</v>
      </c>
      <c r="C144" s="741" t="s">
        <v>512</v>
      </c>
      <c r="D144" s="742">
        <f>SUM(D145:D147)</f>
        <v>1179000</v>
      </c>
      <c r="E144" s="742">
        <f>SUM(E145:E147)</f>
        <v>1262087</v>
      </c>
      <c r="F144" s="742">
        <f>SUM(F145:F147)</f>
        <v>1261752</v>
      </c>
      <c r="G144" s="743">
        <f t="shared" si="7"/>
        <v>0.9997345666344714</v>
      </c>
    </row>
    <row r="145" spans="1:7" s="694" customFormat="1" ht="19.5" customHeight="1">
      <c r="A145" s="733"/>
      <c r="B145" s="733"/>
      <c r="C145" s="736" t="s">
        <v>650</v>
      </c>
      <c r="D145" s="726">
        <v>890000</v>
      </c>
      <c r="E145" s="726">
        <v>963207</v>
      </c>
      <c r="F145" s="726">
        <v>963204</v>
      </c>
      <c r="G145" s="737">
        <v>0.9999</v>
      </c>
    </row>
    <row r="146" spans="1:7" s="694" customFormat="1" ht="19.5" customHeight="1">
      <c r="A146" s="733"/>
      <c r="B146" s="733"/>
      <c r="C146" s="746" t="s">
        <v>651</v>
      </c>
      <c r="D146" s="747">
        <v>114000</v>
      </c>
      <c r="E146" s="747">
        <v>115400</v>
      </c>
      <c r="F146" s="747">
        <v>115069</v>
      </c>
      <c r="G146" s="748">
        <f>F146/E146</f>
        <v>0.9971317157712305</v>
      </c>
    </row>
    <row r="147" spans="1:7" s="694" customFormat="1" ht="19.5" customHeight="1">
      <c r="A147" s="733"/>
      <c r="B147" s="738"/>
      <c r="C147" s="778" t="s">
        <v>652</v>
      </c>
      <c r="D147" s="761">
        <v>175000</v>
      </c>
      <c r="E147" s="761">
        <v>183480</v>
      </c>
      <c r="F147" s="761">
        <v>183479</v>
      </c>
      <c r="G147" s="762">
        <v>0.9999</v>
      </c>
    </row>
    <row r="148" spans="1:7" s="714" customFormat="1" ht="19.5" customHeight="1">
      <c r="A148" s="709"/>
      <c r="B148" s="741">
        <v>80123</v>
      </c>
      <c r="C148" s="741" t="s">
        <v>513</v>
      </c>
      <c r="D148" s="742">
        <f>SUM(D149:D152)</f>
        <v>3200000</v>
      </c>
      <c r="E148" s="742">
        <f>SUM(E149:E152)</f>
        <v>4425711</v>
      </c>
      <c r="F148" s="742">
        <f>SUM(F149:F152)</f>
        <v>4388795</v>
      </c>
      <c r="G148" s="743">
        <f aca="true" t="shared" si="8" ref="G148:G173">F148/E148</f>
        <v>0.9916587413864123</v>
      </c>
    </row>
    <row r="149" spans="1:7" s="694" customFormat="1" ht="19.5" customHeight="1">
      <c r="A149" s="733"/>
      <c r="B149" s="733"/>
      <c r="C149" s="736" t="s">
        <v>650</v>
      </c>
      <c r="D149" s="726">
        <v>2042000</v>
      </c>
      <c r="E149" s="726">
        <v>3032362</v>
      </c>
      <c r="F149" s="726">
        <v>3019877</v>
      </c>
      <c r="G149" s="737">
        <f t="shared" si="8"/>
        <v>0.9958827475083779</v>
      </c>
    </row>
    <row r="150" spans="1:7" s="694" customFormat="1" ht="19.5" customHeight="1">
      <c r="A150" s="733"/>
      <c r="B150" s="733"/>
      <c r="C150" s="746" t="s">
        <v>651</v>
      </c>
      <c r="D150" s="727">
        <v>458000</v>
      </c>
      <c r="E150" s="727">
        <v>498527</v>
      </c>
      <c r="F150" s="727">
        <v>483633</v>
      </c>
      <c r="G150" s="728">
        <f t="shared" si="8"/>
        <v>0.9701239852605776</v>
      </c>
    </row>
    <row r="151" spans="1:7" s="694" customFormat="1" ht="19.5" customHeight="1">
      <c r="A151" s="733"/>
      <c r="B151" s="733"/>
      <c r="C151" s="746" t="s">
        <v>652</v>
      </c>
      <c r="D151" s="747">
        <v>500000</v>
      </c>
      <c r="E151" s="747">
        <v>560033</v>
      </c>
      <c r="F151" s="747">
        <v>556156</v>
      </c>
      <c r="G151" s="748">
        <f t="shared" si="8"/>
        <v>0.9930771936653733</v>
      </c>
    </row>
    <row r="152" spans="1:7" s="694" customFormat="1" ht="20.25" customHeight="1">
      <c r="A152" s="733"/>
      <c r="B152" s="738"/>
      <c r="C152" s="760" t="s">
        <v>680</v>
      </c>
      <c r="D152" s="761">
        <v>200000</v>
      </c>
      <c r="E152" s="761">
        <v>334789</v>
      </c>
      <c r="F152" s="761">
        <v>329129</v>
      </c>
      <c r="G152" s="762">
        <f t="shared" si="8"/>
        <v>0.9830938292476754</v>
      </c>
    </row>
    <row r="153" spans="1:7" s="714" customFormat="1" ht="19.5" customHeight="1">
      <c r="A153" s="709"/>
      <c r="B153" s="741">
        <v>80130</v>
      </c>
      <c r="C153" s="741" t="s">
        <v>681</v>
      </c>
      <c r="D153" s="742">
        <f>SUM(D154:D158)</f>
        <v>49082675</v>
      </c>
      <c r="E153" s="742">
        <f>SUM(E154:E158)</f>
        <v>48909629</v>
      </c>
      <c r="F153" s="742">
        <f>SUM(F154:F158)</f>
        <v>48195049</v>
      </c>
      <c r="G153" s="743">
        <f t="shared" si="8"/>
        <v>0.9853897889922657</v>
      </c>
    </row>
    <row r="154" spans="1:7" s="694" customFormat="1" ht="19.5" customHeight="1">
      <c r="A154" s="733"/>
      <c r="B154" s="733"/>
      <c r="C154" s="736" t="s">
        <v>650</v>
      </c>
      <c r="D154" s="726">
        <f>33000000-834325</f>
        <v>32165675</v>
      </c>
      <c r="E154" s="726">
        <v>29550129</v>
      </c>
      <c r="F154" s="726">
        <v>29459755</v>
      </c>
      <c r="G154" s="737">
        <f t="shared" si="8"/>
        <v>0.9969416715575082</v>
      </c>
    </row>
    <row r="155" spans="1:7" s="694" customFormat="1" ht="19.5" customHeight="1">
      <c r="A155" s="733"/>
      <c r="B155" s="733"/>
      <c r="C155" s="745" t="s">
        <v>651</v>
      </c>
      <c r="D155" s="727">
        <f>5697000+100000</f>
        <v>5797000</v>
      </c>
      <c r="E155" s="727">
        <v>6090303</v>
      </c>
      <c r="F155" s="727">
        <v>5941407</v>
      </c>
      <c r="G155" s="728">
        <f t="shared" si="8"/>
        <v>0.9755519552968054</v>
      </c>
    </row>
    <row r="156" spans="1:7" s="694" customFormat="1" ht="19.5" customHeight="1">
      <c r="A156" s="733"/>
      <c r="B156" s="733"/>
      <c r="C156" s="746" t="s">
        <v>652</v>
      </c>
      <c r="D156" s="747">
        <v>6620000</v>
      </c>
      <c r="E156" s="747">
        <v>5677403</v>
      </c>
      <c r="F156" s="747">
        <v>5659643</v>
      </c>
      <c r="G156" s="748">
        <f t="shared" si="8"/>
        <v>0.9968718091704958</v>
      </c>
    </row>
    <row r="157" spans="1:7" s="694" customFormat="1" ht="20.25" customHeight="1">
      <c r="A157" s="733"/>
      <c r="B157" s="733"/>
      <c r="C157" s="779" t="s">
        <v>682</v>
      </c>
      <c r="D157" s="747">
        <v>3300000</v>
      </c>
      <c r="E157" s="747">
        <v>3473281</v>
      </c>
      <c r="F157" s="747">
        <v>3203218</v>
      </c>
      <c r="G157" s="748">
        <f t="shared" si="8"/>
        <v>0.9222455655042019</v>
      </c>
    </row>
    <row r="158" spans="1:7" s="694" customFormat="1" ht="19.5" customHeight="1">
      <c r="A158" s="738"/>
      <c r="B158" s="738"/>
      <c r="C158" s="738" t="s">
        <v>624</v>
      </c>
      <c r="D158" s="739">
        <f>1000000+200000</f>
        <v>1200000</v>
      </c>
      <c r="E158" s="739">
        <v>4118513</v>
      </c>
      <c r="F158" s="739">
        <v>3931026</v>
      </c>
      <c r="G158" s="740">
        <f t="shared" si="8"/>
        <v>0.9544770163406064</v>
      </c>
    </row>
    <row r="159" spans="1:7" s="714" customFormat="1" ht="19.5" customHeight="1">
      <c r="A159" s="709"/>
      <c r="B159" s="741">
        <v>80134</v>
      </c>
      <c r="C159" s="741" t="s">
        <v>516</v>
      </c>
      <c r="D159" s="742">
        <f>SUM(D160:D162)</f>
        <v>4397000</v>
      </c>
      <c r="E159" s="742">
        <f>SUM(E160:E162)</f>
        <v>4127999</v>
      </c>
      <c r="F159" s="742">
        <f>SUM(F160:F162)</f>
        <v>4114700</v>
      </c>
      <c r="G159" s="743">
        <f t="shared" si="8"/>
        <v>0.9967783422428155</v>
      </c>
    </row>
    <row r="160" spans="1:7" s="694" customFormat="1" ht="19.5" customHeight="1">
      <c r="A160" s="733"/>
      <c r="B160" s="733"/>
      <c r="C160" s="736" t="s">
        <v>650</v>
      </c>
      <c r="D160" s="726">
        <v>3300000</v>
      </c>
      <c r="E160" s="726">
        <v>3103700</v>
      </c>
      <c r="F160" s="726">
        <v>3103372</v>
      </c>
      <c r="G160" s="737">
        <f t="shared" si="8"/>
        <v>0.999894319682959</v>
      </c>
    </row>
    <row r="161" spans="1:7" s="694" customFormat="1" ht="19.5" customHeight="1">
      <c r="A161" s="733"/>
      <c r="B161" s="733"/>
      <c r="C161" s="746" t="s">
        <v>651</v>
      </c>
      <c r="D161" s="747">
        <v>427000</v>
      </c>
      <c r="E161" s="747">
        <v>428828</v>
      </c>
      <c r="F161" s="747">
        <v>416021</v>
      </c>
      <c r="G161" s="748">
        <f t="shared" si="8"/>
        <v>0.9701348792522876</v>
      </c>
    </row>
    <row r="162" spans="1:7" s="694" customFormat="1" ht="19.5" customHeight="1">
      <c r="A162" s="733"/>
      <c r="B162" s="738"/>
      <c r="C162" s="778" t="s">
        <v>652</v>
      </c>
      <c r="D162" s="761">
        <v>670000</v>
      </c>
      <c r="E162" s="761">
        <v>595471</v>
      </c>
      <c r="F162" s="761">
        <v>595307</v>
      </c>
      <c r="G162" s="762">
        <f t="shared" si="8"/>
        <v>0.9997245877633</v>
      </c>
    </row>
    <row r="163" spans="1:7" s="714" customFormat="1" ht="30" customHeight="1">
      <c r="A163" s="709"/>
      <c r="B163" s="763">
        <v>80140</v>
      </c>
      <c r="C163" s="757" t="s">
        <v>517</v>
      </c>
      <c r="D163" s="742">
        <f>SUM(D164:D166)</f>
        <v>8083000</v>
      </c>
      <c r="E163" s="742">
        <f>SUM(E164:E166)</f>
        <v>8263378</v>
      </c>
      <c r="F163" s="742">
        <f>SUM(F164:F166)</f>
        <v>8257066</v>
      </c>
      <c r="G163" s="743">
        <f t="shared" si="8"/>
        <v>0.9992361477352241</v>
      </c>
    </row>
    <row r="164" spans="1:7" s="694" customFormat="1" ht="19.5" customHeight="1">
      <c r="A164" s="733"/>
      <c r="B164" s="735"/>
      <c r="C164" s="736" t="s">
        <v>650</v>
      </c>
      <c r="D164" s="726">
        <v>5900000</v>
      </c>
      <c r="E164" s="726">
        <v>6011711</v>
      </c>
      <c r="F164" s="726">
        <v>6011400</v>
      </c>
      <c r="G164" s="737">
        <f t="shared" si="8"/>
        <v>0.9999482676396121</v>
      </c>
    </row>
    <row r="165" spans="1:7" s="694" customFormat="1" ht="19.5" customHeight="1">
      <c r="A165" s="733"/>
      <c r="B165" s="733"/>
      <c r="C165" s="746" t="s">
        <v>651</v>
      </c>
      <c r="D165" s="747">
        <v>993000</v>
      </c>
      <c r="E165" s="747">
        <v>1059002</v>
      </c>
      <c r="F165" s="747">
        <v>1054234</v>
      </c>
      <c r="G165" s="748">
        <f t="shared" si="8"/>
        <v>0.9954976477853678</v>
      </c>
    </row>
    <row r="166" spans="1:7" s="694" customFormat="1" ht="19.5" customHeight="1">
      <c r="A166" s="733"/>
      <c r="B166" s="738"/>
      <c r="C166" s="778" t="s">
        <v>652</v>
      </c>
      <c r="D166" s="761">
        <v>1190000</v>
      </c>
      <c r="E166" s="761">
        <v>1192665</v>
      </c>
      <c r="F166" s="761">
        <v>1191432</v>
      </c>
      <c r="G166" s="762">
        <f t="shared" si="8"/>
        <v>0.9989661807800179</v>
      </c>
    </row>
    <row r="167" spans="1:7" s="694" customFormat="1" ht="19.5" customHeight="1">
      <c r="A167" s="733"/>
      <c r="B167" s="741">
        <v>80145</v>
      </c>
      <c r="C167" s="741" t="s">
        <v>683</v>
      </c>
      <c r="D167" s="742">
        <f>D168</f>
        <v>60000</v>
      </c>
      <c r="E167" s="742">
        <f>E168</f>
        <v>100529</v>
      </c>
      <c r="F167" s="742">
        <f>F168</f>
        <v>51765</v>
      </c>
      <c r="G167" s="743">
        <f t="shared" si="8"/>
        <v>0.5149260412418307</v>
      </c>
    </row>
    <row r="168" spans="1:7" s="694" customFormat="1" ht="19.5" customHeight="1">
      <c r="A168" s="733"/>
      <c r="B168" s="738"/>
      <c r="C168" s="758" t="s">
        <v>684</v>
      </c>
      <c r="D168" s="739">
        <v>60000</v>
      </c>
      <c r="E168" s="739">
        <v>100529</v>
      </c>
      <c r="F168" s="739">
        <v>51765</v>
      </c>
      <c r="G168" s="718">
        <f t="shared" si="8"/>
        <v>0.5149260412418307</v>
      </c>
    </row>
    <row r="169" spans="1:7" s="694" customFormat="1" ht="19.5" customHeight="1">
      <c r="A169" s="733"/>
      <c r="B169" s="741">
        <v>80146</v>
      </c>
      <c r="C169" s="741" t="s">
        <v>685</v>
      </c>
      <c r="D169" s="742">
        <f>D170</f>
        <v>1200000</v>
      </c>
      <c r="E169" s="742">
        <f>E170</f>
        <v>1200000</v>
      </c>
      <c r="F169" s="742">
        <f>F170</f>
        <v>1117322</v>
      </c>
      <c r="G169" s="743">
        <f t="shared" si="8"/>
        <v>0.9311016666666667</v>
      </c>
    </row>
    <row r="170" spans="1:7" s="694" customFormat="1" ht="19.5" customHeight="1">
      <c r="A170" s="733"/>
      <c r="B170" s="738"/>
      <c r="C170" s="758" t="s">
        <v>686</v>
      </c>
      <c r="D170" s="739">
        <v>1200000</v>
      </c>
      <c r="E170" s="739">
        <v>1200000</v>
      </c>
      <c r="F170" s="739">
        <v>1117322</v>
      </c>
      <c r="G170" s="740">
        <f t="shared" si="8"/>
        <v>0.9311016666666667</v>
      </c>
    </row>
    <row r="171" spans="1:7" s="714" customFormat="1" ht="19.5" customHeight="1">
      <c r="A171" s="709"/>
      <c r="B171" s="741">
        <v>80195</v>
      </c>
      <c r="C171" s="741" t="s">
        <v>314</v>
      </c>
      <c r="D171" s="742">
        <f>SUM(D172:D175)</f>
        <v>1299000</v>
      </c>
      <c r="E171" s="742">
        <f>SUM(E172:E176)</f>
        <v>1356625</v>
      </c>
      <c r="F171" s="742">
        <f>SUM(F172:F176)</f>
        <v>1356268</v>
      </c>
      <c r="G171" s="743">
        <f t="shared" si="8"/>
        <v>0.9997368469547591</v>
      </c>
    </row>
    <row r="172" spans="1:7" s="694" customFormat="1" ht="28.5" customHeight="1">
      <c r="A172" s="733"/>
      <c r="B172" s="733"/>
      <c r="C172" s="759" t="s">
        <v>687</v>
      </c>
      <c r="D172" s="726">
        <v>15000</v>
      </c>
      <c r="E172" s="726">
        <v>17405</v>
      </c>
      <c r="F172" s="726">
        <v>17048</v>
      </c>
      <c r="G172" s="737">
        <f t="shared" si="8"/>
        <v>0.9794886526860098</v>
      </c>
    </row>
    <row r="173" spans="1:7" s="694" customFormat="1" ht="19.5" customHeight="1">
      <c r="A173" s="733"/>
      <c r="B173" s="733"/>
      <c r="C173" s="779" t="s">
        <v>639</v>
      </c>
      <c r="D173" s="747">
        <v>3000</v>
      </c>
      <c r="E173" s="747">
        <v>595</v>
      </c>
      <c r="F173" s="747">
        <v>595</v>
      </c>
      <c r="G173" s="748">
        <f t="shared" si="8"/>
        <v>1</v>
      </c>
    </row>
    <row r="174" spans="1:7" s="694" customFormat="1" ht="55.5" customHeight="1">
      <c r="A174" s="733"/>
      <c r="B174" s="733"/>
      <c r="C174" s="725" t="s">
        <v>688</v>
      </c>
      <c r="D174" s="727">
        <f>800000-500000</f>
        <v>300000</v>
      </c>
      <c r="E174" s="727"/>
      <c r="F174" s="727"/>
      <c r="G174" s="728"/>
    </row>
    <row r="175" spans="1:7" s="694" customFormat="1" ht="30" customHeight="1">
      <c r="A175" s="733"/>
      <c r="B175" s="733"/>
      <c r="C175" s="779" t="s">
        <v>689</v>
      </c>
      <c r="D175" s="747">
        <f>1000000-19000</f>
        <v>981000</v>
      </c>
      <c r="E175" s="747">
        <v>1335327</v>
      </c>
      <c r="F175" s="747">
        <v>1335327</v>
      </c>
      <c r="G175" s="748">
        <f aca="true" t="shared" si="9" ref="G175:G205">F175/E175</f>
        <v>1</v>
      </c>
    </row>
    <row r="176" spans="1:7" s="694" customFormat="1" ht="29.25" customHeight="1">
      <c r="A176" s="733"/>
      <c r="B176" s="738"/>
      <c r="C176" s="760" t="s">
        <v>690</v>
      </c>
      <c r="D176" s="761"/>
      <c r="E176" s="761">
        <v>3298</v>
      </c>
      <c r="F176" s="761">
        <v>3298</v>
      </c>
      <c r="G176" s="762">
        <f t="shared" si="9"/>
        <v>1</v>
      </c>
    </row>
    <row r="177" spans="1:7" s="714" customFormat="1" ht="19.5" customHeight="1">
      <c r="A177" s="709"/>
      <c r="B177" s="741">
        <v>80197</v>
      </c>
      <c r="C177" s="741" t="s">
        <v>518</v>
      </c>
      <c r="D177" s="742">
        <f>D178</f>
        <v>137000</v>
      </c>
      <c r="E177" s="742">
        <f>E178</f>
        <v>137000</v>
      </c>
      <c r="F177" s="742">
        <f>F178</f>
        <v>135890</v>
      </c>
      <c r="G177" s="743">
        <f t="shared" si="9"/>
        <v>0.991897810218978</v>
      </c>
    </row>
    <row r="178" spans="1:7" s="694" customFormat="1" ht="31.5" customHeight="1">
      <c r="A178" s="738"/>
      <c r="B178" s="744"/>
      <c r="C178" s="716" t="s">
        <v>691</v>
      </c>
      <c r="D178" s="717">
        <v>137000</v>
      </c>
      <c r="E178" s="717">
        <v>137000</v>
      </c>
      <c r="F178" s="717">
        <v>135890</v>
      </c>
      <c r="G178" s="718">
        <f t="shared" si="9"/>
        <v>0.991897810218978</v>
      </c>
    </row>
    <row r="179" spans="1:7" s="694" customFormat="1" ht="19.5" customHeight="1">
      <c r="A179" s="706">
        <v>851</v>
      </c>
      <c r="B179" s="706"/>
      <c r="C179" s="706" t="s">
        <v>393</v>
      </c>
      <c r="D179" s="707">
        <f>D180+D185+D187+D189+D191</f>
        <v>7095000</v>
      </c>
      <c r="E179" s="707">
        <f>E180+E185+E187+E189+E191</f>
        <v>10236000</v>
      </c>
      <c r="F179" s="707">
        <f>F180+F185+F187+F189+F191</f>
        <v>9013918</v>
      </c>
      <c r="G179" s="708">
        <f t="shared" si="9"/>
        <v>0.8806094177413052</v>
      </c>
    </row>
    <row r="180" spans="1:7" s="714" customFormat="1" ht="19.5" customHeight="1">
      <c r="A180" s="709"/>
      <c r="B180" s="711">
        <v>85121</v>
      </c>
      <c r="C180" s="711" t="s">
        <v>692</v>
      </c>
      <c r="D180" s="712">
        <f>SUM(D181:D184)</f>
        <v>2885000</v>
      </c>
      <c r="E180" s="712">
        <f>SUM(E181:E184)</f>
        <v>5026000</v>
      </c>
      <c r="F180" s="712">
        <f>SUM(F181:F184)</f>
        <v>4215818</v>
      </c>
      <c r="G180" s="713">
        <f t="shared" si="9"/>
        <v>0.8388018304814963</v>
      </c>
    </row>
    <row r="181" spans="1:7" s="694" customFormat="1" ht="19.5" customHeight="1">
      <c r="A181" s="738"/>
      <c r="B181" s="738"/>
      <c r="C181" s="744" t="s">
        <v>693</v>
      </c>
      <c r="D181" s="717">
        <f>1400000+35000</f>
        <v>1435000</v>
      </c>
      <c r="E181" s="717">
        <v>3310000</v>
      </c>
      <c r="F181" s="717">
        <v>2529748</v>
      </c>
      <c r="G181" s="718">
        <f t="shared" si="9"/>
        <v>0.7642743202416918</v>
      </c>
    </row>
    <row r="182" spans="1:7" s="694" customFormat="1" ht="19.5" customHeight="1">
      <c r="A182" s="733"/>
      <c r="B182" s="733"/>
      <c r="C182" s="745" t="s">
        <v>694</v>
      </c>
      <c r="D182" s="727">
        <v>1100000</v>
      </c>
      <c r="E182" s="727">
        <v>1100000</v>
      </c>
      <c r="F182" s="727">
        <v>1100000</v>
      </c>
      <c r="G182" s="728">
        <f t="shared" si="9"/>
        <v>1</v>
      </c>
    </row>
    <row r="183" spans="1:7" s="694" customFormat="1" ht="27.75" customHeight="1">
      <c r="A183" s="733"/>
      <c r="B183" s="733"/>
      <c r="C183" s="779" t="s">
        <v>695</v>
      </c>
      <c r="D183" s="747">
        <v>50000</v>
      </c>
      <c r="E183" s="747">
        <v>50000</v>
      </c>
      <c r="F183" s="747">
        <v>20255</v>
      </c>
      <c r="G183" s="748">
        <f t="shared" si="9"/>
        <v>0.4051</v>
      </c>
    </row>
    <row r="184" spans="1:7" s="694" customFormat="1" ht="19.5" customHeight="1">
      <c r="A184" s="733"/>
      <c r="B184" s="738"/>
      <c r="C184" s="758" t="s">
        <v>624</v>
      </c>
      <c r="D184" s="739">
        <f>200000+100000</f>
        <v>300000</v>
      </c>
      <c r="E184" s="739">
        <v>566000</v>
      </c>
      <c r="F184" s="739">
        <v>565815</v>
      </c>
      <c r="G184" s="740">
        <f t="shared" si="9"/>
        <v>0.9996731448763251</v>
      </c>
    </row>
    <row r="185" spans="1:7" s="714" customFormat="1" ht="19.5" customHeight="1">
      <c r="A185" s="709"/>
      <c r="B185" s="741">
        <v>85149</v>
      </c>
      <c r="C185" s="741" t="s">
        <v>696</v>
      </c>
      <c r="D185" s="742">
        <f>D186</f>
        <v>200000</v>
      </c>
      <c r="E185" s="742">
        <f>E186</f>
        <v>200000</v>
      </c>
      <c r="F185" s="742">
        <f>F186</f>
        <v>199959</v>
      </c>
      <c r="G185" s="743">
        <f t="shared" si="9"/>
        <v>0.999795</v>
      </c>
    </row>
    <row r="186" spans="1:7" s="694" customFormat="1" ht="20.25" customHeight="1">
      <c r="A186" s="733"/>
      <c r="B186" s="744"/>
      <c r="C186" s="744" t="s">
        <v>694</v>
      </c>
      <c r="D186" s="717">
        <f>1300000-1100000</f>
        <v>200000</v>
      </c>
      <c r="E186" s="717">
        <v>200000</v>
      </c>
      <c r="F186" s="717">
        <v>199959</v>
      </c>
      <c r="G186" s="718">
        <f t="shared" si="9"/>
        <v>0.999795</v>
      </c>
    </row>
    <row r="187" spans="1:7" s="714" customFormat="1" ht="19.5" customHeight="1">
      <c r="A187" s="709"/>
      <c r="B187" s="711">
        <v>85153</v>
      </c>
      <c r="C187" s="711" t="s">
        <v>697</v>
      </c>
      <c r="D187" s="712">
        <f>D188</f>
        <v>100000</v>
      </c>
      <c r="E187" s="712">
        <f>E188</f>
        <v>100000</v>
      </c>
      <c r="F187" s="712">
        <f>F188</f>
        <v>93826</v>
      </c>
      <c r="G187" s="713">
        <f t="shared" si="9"/>
        <v>0.93826</v>
      </c>
    </row>
    <row r="188" spans="1:7" s="694" customFormat="1" ht="30" customHeight="1">
      <c r="A188" s="733"/>
      <c r="B188" s="744"/>
      <c r="C188" s="716" t="s">
        <v>698</v>
      </c>
      <c r="D188" s="717">
        <v>100000</v>
      </c>
      <c r="E188" s="717">
        <v>100000</v>
      </c>
      <c r="F188" s="717">
        <v>93826</v>
      </c>
      <c r="G188" s="718">
        <f t="shared" si="9"/>
        <v>0.93826</v>
      </c>
    </row>
    <row r="189" spans="1:7" s="714" customFormat="1" ht="19.5" customHeight="1">
      <c r="A189" s="709"/>
      <c r="B189" s="741">
        <v>85154</v>
      </c>
      <c r="C189" s="741" t="s">
        <v>699</v>
      </c>
      <c r="D189" s="742">
        <f>D190</f>
        <v>3500000</v>
      </c>
      <c r="E189" s="742">
        <f>E190</f>
        <v>4500000</v>
      </c>
      <c r="F189" s="742">
        <f>F190</f>
        <v>4097453</v>
      </c>
      <c r="G189" s="743">
        <f t="shared" si="9"/>
        <v>0.9105451111111111</v>
      </c>
    </row>
    <row r="190" spans="1:7" s="694" customFormat="1" ht="29.25" customHeight="1">
      <c r="A190" s="733"/>
      <c r="B190" s="744"/>
      <c r="C190" s="716" t="s">
        <v>700</v>
      </c>
      <c r="D190" s="717">
        <v>3500000</v>
      </c>
      <c r="E190" s="717">
        <v>4500000</v>
      </c>
      <c r="F190" s="717">
        <v>4097453</v>
      </c>
      <c r="G190" s="718">
        <f t="shared" si="9"/>
        <v>0.9105451111111111</v>
      </c>
    </row>
    <row r="191" spans="1:7" s="714" customFormat="1" ht="19.5" customHeight="1">
      <c r="A191" s="709"/>
      <c r="B191" s="741">
        <v>85195</v>
      </c>
      <c r="C191" s="741" t="s">
        <v>314</v>
      </c>
      <c r="D191" s="742">
        <f>SUM(D192:D193)</f>
        <v>410000</v>
      </c>
      <c r="E191" s="742">
        <f>SUM(E192:E193)</f>
        <v>410000</v>
      </c>
      <c r="F191" s="742">
        <f>SUM(F192:F193)</f>
        <v>406862</v>
      </c>
      <c r="G191" s="743">
        <f t="shared" si="9"/>
        <v>0.9923463414634146</v>
      </c>
    </row>
    <row r="192" spans="1:7" s="694" customFormat="1" ht="28.5" customHeight="1">
      <c r="A192" s="733"/>
      <c r="B192" s="733"/>
      <c r="C192" s="779" t="s">
        <v>701</v>
      </c>
      <c r="D192" s="747">
        <v>400000</v>
      </c>
      <c r="E192" s="747">
        <v>400000</v>
      </c>
      <c r="F192" s="747">
        <v>396862</v>
      </c>
      <c r="G192" s="748">
        <f t="shared" si="9"/>
        <v>0.992155</v>
      </c>
    </row>
    <row r="193" spans="1:7" s="694" customFormat="1" ht="19.5" customHeight="1">
      <c r="A193" s="738"/>
      <c r="B193" s="738"/>
      <c r="C193" s="738" t="s">
        <v>702</v>
      </c>
      <c r="D193" s="739">
        <v>10000</v>
      </c>
      <c r="E193" s="739">
        <v>10000</v>
      </c>
      <c r="F193" s="739">
        <v>10000</v>
      </c>
      <c r="G193" s="740">
        <f t="shared" si="9"/>
        <v>1</v>
      </c>
    </row>
    <row r="194" spans="1:7" s="694" customFormat="1" ht="19.5" customHeight="1">
      <c r="A194" s="706">
        <v>853</v>
      </c>
      <c r="B194" s="706"/>
      <c r="C194" s="706" t="s">
        <v>395</v>
      </c>
      <c r="D194" s="707">
        <f>D195+D200+D207+D212+D214+D218+D220+D223+D228+D230+D234+D236+D244+D240+D242</f>
        <v>70675000</v>
      </c>
      <c r="E194" s="707">
        <f>E195+E200+E207+E212+E214+E218+E220+E223+E228+E230+E234+E236+E244+E240+E242</f>
        <v>80827938</v>
      </c>
      <c r="F194" s="707">
        <f>F195+F200+F207+F212+F214+F218+F220+F223+F228+F230+F234+F236+F244+F240+F242</f>
        <v>75891382</v>
      </c>
      <c r="G194" s="708">
        <f t="shared" si="9"/>
        <v>0.9389251275963516</v>
      </c>
    </row>
    <row r="195" spans="1:7" s="694" customFormat="1" ht="19.5" customHeight="1">
      <c r="A195" s="733"/>
      <c r="B195" s="711">
        <v>85301</v>
      </c>
      <c r="C195" s="711" t="s">
        <v>703</v>
      </c>
      <c r="D195" s="712">
        <f>SUM(D196:D199)</f>
        <v>9576000</v>
      </c>
      <c r="E195" s="712">
        <f>SUM(E196:E199)</f>
        <v>10583000</v>
      </c>
      <c r="F195" s="712">
        <f>SUM(F196:F199)</f>
        <v>9129480</v>
      </c>
      <c r="G195" s="713">
        <f t="shared" si="9"/>
        <v>0.8626552017386374</v>
      </c>
    </row>
    <row r="196" spans="1:7" s="694" customFormat="1" ht="19.5" customHeight="1">
      <c r="A196" s="733"/>
      <c r="B196" s="709"/>
      <c r="C196" s="736" t="s">
        <v>650</v>
      </c>
      <c r="D196" s="726">
        <f>2755000+1820000+87900</f>
        <v>4662900</v>
      </c>
      <c r="E196" s="726">
        <v>4614820</v>
      </c>
      <c r="F196" s="726">
        <v>4431001</v>
      </c>
      <c r="G196" s="737">
        <f t="shared" si="9"/>
        <v>0.960167677179175</v>
      </c>
    </row>
    <row r="197" spans="1:7" s="694" customFormat="1" ht="19.5" customHeight="1">
      <c r="A197" s="733"/>
      <c r="B197" s="709"/>
      <c r="C197" s="746" t="s">
        <v>651</v>
      </c>
      <c r="D197" s="747">
        <f>380000+1167000+142000+576000+98600</f>
        <v>2363600</v>
      </c>
      <c r="E197" s="747">
        <v>3392157</v>
      </c>
      <c r="F197" s="747">
        <v>2205378</v>
      </c>
      <c r="G197" s="748">
        <f t="shared" si="9"/>
        <v>0.6501403089538603</v>
      </c>
    </row>
    <row r="198" spans="1:7" s="694" customFormat="1" ht="19.5" customHeight="1">
      <c r="A198" s="733"/>
      <c r="B198" s="733"/>
      <c r="C198" s="746" t="s">
        <v>652</v>
      </c>
      <c r="D198" s="747">
        <f>500000+332000+15100+2400</f>
        <v>849500</v>
      </c>
      <c r="E198" s="747">
        <v>876023</v>
      </c>
      <c r="F198" s="747">
        <v>871401</v>
      </c>
      <c r="G198" s="748">
        <f t="shared" si="9"/>
        <v>0.9947238828204282</v>
      </c>
    </row>
    <row r="199" spans="1:7" s="694" customFormat="1" ht="19.5" customHeight="1">
      <c r="A199" s="733"/>
      <c r="B199" s="733"/>
      <c r="C199" s="780" t="s">
        <v>704</v>
      </c>
      <c r="D199" s="781">
        <f>1200000+500000</f>
        <v>1700000</v>
      </c>
      <c r="E199" s="781">
        <v>1700000</v>
      </c>
      <c r="F199" s="781">
        <v>1621700</v>
      </c>
      <c r="G199" s="782">
        <f t="shared" si="9"/>
        <v>0.9539411764705882</v>
      </c>
    </row>
    <row r="200" spans="1:7" s="694" customFormat="1" ht="19.5" customHeight="1">
      <c r="A200" s="733"/>
      <c r="B200" s="711">
        <v>85302</v>
      </c>
      <c r="C200" s="711" t="s">
        <v>523</v>
      </c>
      <c r="D200" s="712">
        <f>SUM(D201:D204)</f>
        <v>13583400</v>
      </c>
      <c r="E200" s="712">
        <f>SUM(E201:E205)</f>
        <v>14054828</v>
      </c>
      <c r="F200" s="712">
        <f>SUM(F201:F205)</f>
        <v>13483102</v>
      </c>
      <c r="G200" s="713">
        <f t="shared" si="9"/>
        <v>0.9593217362745385</v>
      </c>
    </row>
    <row r="201" spans="1:7" s="694" customFormat="1" ht="19.5" customHeight="1">
      <c r="A201" s="733"/>
      <c r="B201" s="733"/>
      <c r="C201" s="736" t="s">
        <v>650</v>
      </c>
      <c r="D201" s="726">
        <f>7061000+20000+74000</f>
        <v>7155000</v>
      </c>
      <c r="E201" s="726">
        <v>7261700</v>
      </c>
      <c r="F201" s="726">
        <v>7104393</v>
      </c>
      <c r="G201" s="737">
        <f t="shared" si="9"/>
        <v>0.9783374416458956</v>
      </c>
    </row>
    <row r="202" spans="1:7" s="694" customFormat="1" ht="19.5" customHeight="1">
      <c r="A202" s="733"/>
      <c r="B202" s="733"/>
      <c r="C202" s="746" t="s">
        <v>651</v>
      </c>
      <c r="D202" s="747">
        <f>3593500+266900</f>
        <v>3860400</v>
      </c>
      <c r="E202" s="747">
        <f>3986303+12000</f>
        <v>3998303</v>
      </c>
      <c r="F202" s="747">
        <v>3853252</v>
      </c>
      <c r="G202" s="748">
        <f t="shared" si="9"/>
        <v>0.9637218589986802</v>
      </c>
    </row>
    <row r="203" spans="1:7" s="694" customFormat="1" ht="19.5" customHeight="1">
      <c r="A203" s="733"/>
      <c r="B203" s="733"/>
      <c r="C203" s="746" t="s">
        <v>652</v>
      </c>
      <c r="D203" s="747">
        <f>1430000+4000+14000</f>
        <v>1448000</v>
      </c>
      <c r="E203" s="747">
        <f>1438297-12000</f>
        <v>1426297</v>
      </c>
      <c r="F203" s="747">
        <v>1355002</v>
      </c>
      <c r="G203" s="748">
        <f t="shared" si="9"/>
        <v>0.9500139171575065</v>
      </c>
    </row>
    <row r="204" spans="1:7" s="694" customFormat="1" ht="19.5" customHeight="1">
      <c r="A204" s="733"/>
      <c r="B204" s="733"/>
      <c r="C204" s="783" t="s">
        <v>624</v>
      </c>
      <c r="D204" s="781">
        <v>1120000</v>
      </c>
      <c r="E204" s="781">
        <v>1168328</v>
      </c>
      <c r="F204" s="781">
        <v>970255</v>
      </c>
      <c r="G204" s="782">
        <f t="shared" si="9"/>
        <v>0.8304645613218206</v>
      </c>
    </row>
    <row r="205" spans="1:7" s="694" customFormat="1" ht="29.25" customHeight="1">
      <c r="A205" s="733"/>
      <c r="B205" s="733"/>
      <c r="C205" s="784" t="s">
        <v>705</v>
      </c>
      <c r="D205" s="781"/>
      <c r="E205" s="781">
        <v>200200</v>
      </c>
      <c r="F205" s="781">
        <v>200200</v>
      </c>
      <c r="G205" s="782">
        <f t="shared" si="9"/>
        <v>1</v>
      </c>
    </row>
    <row r="206" spans="1:7" s="694" customFormat="1" ht="19.5" customHeight="1">
      <c r="A206" s="774"/>
      <c r="B206" s="774"/>
      <c r="C206" s="785"/>
      <c r="D206" s="776"/>
      <c r="E206" s="776"/>
      <c r="F206" s="776"/>
      <c r="G206" s="777"/>
    </row>
    <row r="207" spans="1:7" s="694" customFormat="1" ht="19.5" customHeight="1">
      <c r="A207" s="733"/>
      <c r="B207" s="741">
        <v>85303</v>
      </c>
      <c r="C207" s="741" t="s">
        <v>396</v>
      </c>
      <c r="D207" s="742">
        <f>SUM(D208:D211)</f>
        <v>2790000</v>
      </c>
      <c r="E207" s="742">
        <f>SUM(E208:E211)</f>
        <v>2800000</v>
      </c>
      <c r="F207" s="742">
        <f>SUM(F208:F211)</f>
        <v>2755915</v>
      </c>
      <c r="G207" s="743">
        <f aca="true" t="shared" si="10" ref="G207:G214">F207/E207</f>
        <v>0.9842553571428572</v>
      </c>
    </row>
    <row r="208" spans="1:7" s="694" customFormat="1" ht="19.5" customHeight="1">
      <c r="A208" s="733"/>
      <c r="B208" s="733"/>
      <c r="C208" s="736" t="s">
        <v>650</v>
      </c>
      <c r="D208" s="726">
        <v>1519000</v>
      </c>
      <c r="E208" s="726">
        <v>1519000</v>
      </c>
      <c r="F208" s="726">
        <v>1480652</v>
      </c>
      <c r="G208" s="737">
        <f t="shared" si="10"/>
        <v>0.974754443712969</v>
      </c>
    </row>
    <row r="209" spans="1:7" s="694" customFormat="1" ht="19.5" customHeight="1">
      <c r="A209" s="733"/>
      <c r="B209" s="733"/>
      <c r="C209" s="746" t="s">
        <v>651</v>
      </c>
      <c r="D209" s="747">
        <v>371000</v>
      </c>
      <c r="E209" s="747">
        <v>381450</v>
      </c>
      <c r="F209" s="747">
        <v>380196</v>
      </c>
      <c r="G209" s="748">
        <f t="shared" si="10"/>
        <v>0.9967125442390877</v>
      </c>
    </row>
    <row r="210" spans="1:7" s="694" customFormat="1" ht="19.5" customHeight="1">
      <c r="A210" s="733"/>
      <c r="B210" s="733"/>
      <c r="C210" s="746" t="s">
        <v>652</v>
      </c>
      <c r="D210" s="747">
        <v>300000</v>
      </c>
      <c r="E210" s="747">
        <v>299550</v>
      </c>
      <c r="F210" s="747">
        <v>295067</v>
      </c>
      <c r="G210" s="748">
        <f t="shared" si="10"/>
        <v>0.9850342179936572</v>
      </c>
    </row>
    <row r="211" spans="1:7" s="694" customFormat="1" ht="28.5" customHeight="1">
      <c r="A211" s="733"/>
      <c r="B211" s="738"/>
      <c r="C211" s="758" t="s">
        <v>706</v>
      </c>
      <c r="D211" s="761">
        <v>600000</v>
      </c>
      <c r="E211" s="761">
        <v>600000</v>
      </c>
      <c r="F211" s="761">
        <v>600000</v>
      </c>
      <c r="G211" s="762">
        <f t="shared" si="10"/>
        <v>1</v>
      </c>
    </row>
    <row r="212" spans="1:7" s="694" customFormat="1" ht="19.5" customHeight="1">
      <c r="A212" s="733"/>
      <c r="B212" s="741">
        <v>85304</v>
      </c>
      <c r="C212" s="757" t="s">
        <v>525</v>
      </c>
      <c r="D212" s="742">
        <f>D213</f>
        <v>3662000</v>
      </c>
      <c r="E212" s="742">
        <f>E213</f>
        <v>5330110</v>
      </c>
      <c r="F212" s="742">
        <f>F213</f>
        <v>5330110</v>
      </c>
      <c r="G212" s="743">
        <f t="shared" si="10"/>
        <v>1</v>
      </c>
    </row>
    <row r="213" spans="1:7" s="694" customFormat="1" ht="21.75" customHeight="1">
      <c r="A213" s="733"/>
      <c r="B213" s="744"/>
      <c r="C213" s="716" t="s">
        <v>707</v>
      </c>
      <c r="D213" s="717">
        <v>3662000</v>
      </c>
      <c r="E213" s="717">
        <v>5330110</v>
      </c>
      <c r="F213" s="717">
        <v>5330110</v>
      </c>
      <c r="G213" s="718">
        <f t="shared" si="10"/>
        <v>1</v>
      </c>
    </row>
    <row r="214" spans="1:7" s="694" customFormat="1" ht="19.5" customHeight="1">
      <c r="A214" s="733"/>
      <c r="B214" s="741">
        <v>85305</v>
      </c>
      <c r="C214" s="741" t="s">
        <v>398</v>
      </c>
      <c r="D214" s="742">
        <f>SUM(D215:D217)</f>
        <v>4434000</v>
      </c>
      <c r="E214" s="742">
        <f>SUM(E215:E217)</f>
        <v>4484000</v>
      </c>
      <c r="F214" s="742">
        <f>SUM(F215:F217)</f>
        <v>4394390</v>
      </c>
      <c r="G214" s="743">
        <f t="shared" si="10"/>
        <v>0.9800156110615522</v>
      </c>
    </row>
    <row r="215" spans="1:7" s="694" customFormat="1" ht="18.75" customHeight="1">
      <c r="A215" s="733"/>
      <c r="B215" s="733"/>
      <c r="C215" s="736" t="s">
        <v>650</v>
      </c>
      <c r="D215" s="726">
        <v>3129000</v>
      </c>
      <c r="E215" s="726">
        <v>3129000</v>
      </c>
      <c r="F215" s="726">
        <v>3128998</v>
      </c>
      <c r="G215" s="737">
        <v>0.9999</v>
      </c>
    </row>
    <row r="216" spans="1:7" s="694" customFormat="1" ht="18.75" customHeight="1">
      <c r="A216" s="733"/>
      <c r="B216" s="733"/>
      <c r="C216" s="746" t="s">
        <v>651</v>
      </c>
      <c r="D216" s="747">
        <v>670000</v>
      </c>
      <c r="E216" s="747">
        <v>720000</v>
      </c>
      <c r="F216" s="747">
        <v>706022</v>
      </c>
      <c r="G216" s="748">
        <f aca="true" t="shared" si="11" ref="G216:G232">F216/E216</f>
        <v>0.9805861111111112</v>
      </c>
    </row>
    <row r="217" spans="1:7" s="694" customFormat="1" ht="18.75" customHeight="1">
      <c r="A217" s="733"/>
      <c r="B217" s="733"/>
      <c r="C217" s="783" t="s">
        <v>652</v>
      </c>
      <c r="D217" s="781">
        <v>635000</v>
      </c>
      <c r="E217" s="781">
        <v>635000</v>
      </c>
      <c r="F217" s="781">
        <v>559370</v>
      </c>
      <c r="G217" s="782">
        <f t="shared" si="11"/>
        <v>0.8808976377952756</v>
      </c>
    </row>
    <row r="218" spans="1:7" s="714" customFormat="1" ht="29.25" customHeight="1">
      <c r="A218" s="709"/>
      <c r="B218" s="772">
        <v>85314</v>
      </c>
      <c r="C218" s="773" t="s">
        <v>400</v>
      </c>
      <c r="D218" s="712">
        <f>D219</f>
        <v>6620000</v>
      </c>
      <c r="E218" s="712">
        <f>E219</f>
        <v>6740000</v>
      </c>
      <c r="F218" s="712">
        <f>F219</f>
        <v>6330849</v>
      </c>
      <c r="G218" s="713">
        <f t="shared" si="11"/>
        <v>0.9392951038575668</v>
      </c>
    </row>
    <row r="219" spans="1:7" s="694" customFormat="1" ht="19.5" customHeight="1">
      <c r="A219" s="733"/>
      <c r="B219" s="744"/>
      <c r="C219" s="744" t="s">
        <v>707</v>
      </c>
      <c r="D219" s="717">
        <f>6650000-30000</f>
        <v>6620000</v>
      </c>
      <c r="E219" s="717">
        <v>6740000</v>
      </c>
      <c r="F219" s="717">
        <v>6330849</v>
      </c>
      <c r="G219" s="718">
        <f t="shared" si="11"/>
        <v>0.9392951038575668</v>
      </c>
    </row>
    <row r="220" spans="1:7" s="714" customFormat="1" ht="19.5" customHeight="1">
      <c r="A220" s="709"/>
      <c r="B220" s="741">
        <v>85315</v>
      </c>
      <c r="C220" s="741" t="s">
        <v>402</v>
      </c>
      <c r="D220" s="742">
        <f>D221</f>
        <v>13700000</v>
      </c>
      <c r="E220" s="742">
        <f>E221</f>
        <v>19708543</v>
      </c>
      <c r="F220" s="742">
        <f>F221</f>
        <v>17510429</v>
      </c>
      <c r="G220" s="743">
        <f t="shared" si="11"/>
        <v>0.888468975103842</v>
      </c>
    </row>
    <row r="221" spans="1:7" s="694" customFormat="1" ht="19.5" customHeight="1">
      <c r="A221" s="733"/>
      <c r="B221" s="733"/>
      <c r="C221" s="733" t="s">
        <v>708</v>
      </c>
      <c r="D221" s="749">
        <v>13700000</v>
      </c>
      <c r="E221" s="749">
        <v>19708543</v>
      </c>
      <c r="F221" s="749">
        <v>17510429</v>
      </c>
      <c r="G221" s="750">
        <f t="shared" si="11"/>
        <v>0.888468975103842</v>
      </c>
    </row>
    <row r="222" spans="1:7" s="694" customFormat="1" ht="15.75" customHeight="1">
      <c r="A222" s="733"/>
      <c r="B222" s="738"/>
      <c r="C222" s="751" t="s">
        <v>709</v>
      </c>
      <c r="D222" s="752">
        <v>13700000</v>
      </c>
      <c r="E222" s="752">
        <v>13700000</v>
      </c>
      <c r="F222" s="752">
        <v>11501886</v>
      </c>
      <c r="G222" s="753">
        <f t="shared" si="11"/>
        <v>0.8395537226277372</v>
      </c>
    </row>
    <row r="223" spans="1:7" s="694" customFormat="1" ht="19.5" customHeight="1">
      <c r="A223" s="733"/>
      <c r="B223" s="741">
        <v>85319</v>
      </c>
      <c r="C223" s="741" t="s">
        <v>404</v>
      </c>
      <c r="D223" s="742">
        <f>SUM(D224:D227)</f>
        <v>7073400</v>
      </c>
      <c r="E223" s="742">
        <f>SUM(E224:E227)</f>
        <v>7109699</v>
      </c>
      <c r="F223" s="742">
        <f>SUM(F224:F227)</f>
        <v>7066179</v>
      </c>
      <c r="G223" s="743">
        <f t="shared" si="11"/>
        <v>0.9938787844604955</v>
      </c>
    </row>
    <row r="224" spans="1:7" s="694" customFormat="1" ht="18.75" customHeight="1">
      <c r="A224" s="733"/>
      <c r="B224" s="733"/>
      <c r="C224" s="736" t="s">
        <v>650</v>
      </c>
      <c r="D224" s="726">
        <v>5047400</v>
      </c>
      <c r="E224" s="726">
        <v>5047400</v>
      </c>
      <c r="F224" s="726">
        <v>5035557</v>
      </c>
      <c r="G224" s="737">
        <f t="shared" si="11"/>
        <v>0.9976536434599992</v>
      </c>
    </row>
    <row r="225" spans="1:7" s="694" customFormat="1" ht="18.75" customHeight="1">
      <c r="A225" s="733"/>
      <c r="B225" s="733"/>
      <c r="C225" s="746" t="s">
        <v>651</v>
      </c>
      <c r="D225" s="747">
        <v>900000</v>
      </c>
      <c r="E225" s="747">
        <v>1052299</v>
      </c>
      <c r="F225" s="747">
        <v>1020622</v>
      </c>
      <c r="G225" s="748">
        <f t="shared" si="11"/>
        <v>0.9698973390642773</v>
      </c>
    </row>
    <row r="226" spans="1:7" s="694" customFormat="1" ht="18.75" customHeight="1">
      <c r="A226" s="733"/>
      <c r="B226" s="733"/>
      <c r="C226" s="746" t="s">
        <v>652</v>
      </c>
      <c r="D226" s="747">
        <v>1026000</v>
      </c>
      <c r="E226" s="747">
        <v>972000</v>
      </c>
      <c r="F226" s="747">
        <v>972000</v>
      </c>
      <c r="G226" s="748">
        <f t="shared" si="11"/>
        <v>1</v>
      </c>
    </row>
    <row r="227" spans="1:7" s="694" customFormat="1" ht="18.75" customHeight="1">
      <c r="A227" s="733"/>
      <c r="B227" s="738"/>
      <c r="C227" s="738" t="s">
        <v>624</v>
      </c>
      <c r="D227" s="739">
        <v>100000</v>
      </c>
      <c r="E227" s="739">
        <v>38000</v>
      </c>
      <c r="F227" s="739">
        <v>38000</v>
      </c>
      <c r="G227" s="740">
        <f t="shared" si="11"/>
        <v>1</v>
      </c>
    </row>
    <row r="228" spans="1:7" s="714" customFormat="1" ht="19.5" customHeight="1">
      <c r="A228" s="709"/>
      <c r="B228" s="741">
        <v>85321</v>
      </c>
      <c r="C228" s="757" t="s">
        <v>596</v>
      </c>
      <c r="D228" s="742">
        <f>D229</f>
        <v>100000</v>
      </c>
      <c r="E228" s="742">
        <f>E229</f>
        <v>100000</v>
      </c>
      <c r="F228" s="742">
        <f>F229</f>
        <v>90040</v>
      </c>
      <c r="G228" s="743">
        <f t="shared" si="11"/>
        <v>0.9004</v>
      </c>
    </row>
    <row r="229" spans="1:7" s="694" customFormat="1" ht="27.75" customHeight="1">
      <c r="A229" s="733"/>
      <c r="B229" s="738"/>
      <c r="C229" s="758" t="s">
        <v>710</v>
      </c>
      <c r="D229" s="739">
        <v>100000</v>
      </c>
      <c r="E229" s="739">
        <v>100000</v>
      </c>
      <c r="F229" s="739">
        <v>90040</v>
      </c>
      <c r="G229" s="740">
        <f t="shared" si="11"/>
        <v>0.9004</v>
      </c>
    </row>
    <row r="230" spans="1:7" s="714" customFormat="1" ht="19.5" customHeight="1">
      <c r="A230" s="709"/>
      <c r="B230" s="741">
        <v>85326</v>
      </c>
      <c r="C230" s="741" t="s">
        <v>527</v>
      </c>
      <c r="D230" s="742">
        <f>SUM(D231:D233)</f>
        <v>245200</v>
      </c>
      <c r="E230" s="742">
        <f>SUM(E231:E233)</f>
        <v>245200</v>
      </c>
      <c r="F230" s="742">
        <f>SUM(F231:F233)</f>
        <v>230000</v>
      </c>
      <c r="G230" s="743">
        <f t="shared" si="11"/>
        <v>0.9380097879282219</v>
      </c>
    </row>
    <row r="231" spans="1:7" s="694" customFormat="1" ht="18.75" customHeight="1">
      <c r="A231" s="733"/>
      <c r="B231" s="733"/>
      <c r="C231" s="736" t="s">
        <v>650</v>
      </c>
      <c r="D231" s="726">
        <v>171200</v>
      </c>
      <c r="E231" s="726">
        <v>170651</v>
      </c>
      <c r="F231" s="726">
        <v>155461</v>
      </c>
      <c r="G231" s="737">
        <f t="shared" si="11"/>
        <v>0.9109879227194684</v>
      </c>
    </row>
    <row r="232" spans="1:7" s="694" customFormat="1" ht="18.75" customHeight="1">
      <c r="A232" s="733"/>
      <c r="B232" s="733"/>
      <c r="C232" s="746" t="s">
        <v>651</v>
      </c>
      <c r="D232" s="747">
        <v>40000</v>
      </c>
      <c r="E232" s="747">
        <v>44801</v>
      </c>
      <c r="F232" s="747">
        <v>44792</v>
      </c>
      <c r="G232" s="748">
        <f t="shared" si="11"/>
        <v>0.9997991116269727</v>
      </c>
    </row>
    <row r="233" spans="1:7" s="694" customFormat="1" ht="18.75" customHeight="1">
      <c r="A233" s="738"/>
      <c r="B233" s="738"/>
      <c r="C233" s="778" t="s">
        <v>652</v>
      </c>
      <c r="D233" s="761">
        <v>34000</v>
      </c>
      <c r="E233" s="761">
        <v>29748</v>
      </c>
      <c r="F233" s="761">
        <v>29747</v>
      </c>
      <c r="G233" s="762">
        <v>0.9999</v>
      </c>
    </row>
    <row r="234" spans="1:7" s="714" customFormat="1" ht="19.5" customHeight="1">
      <c r="A234" s="709"/>
      <c r="B234" s="741">
        <v>85328</v>
      </c>
      <c r="C234" s="741" t="s">
        <v>405</v>
      </c>
      <c r="D234" s="742">
        <f>D235</f>
        <v>7400000</v>
      </c>
      <c r="E234" s="742">
        <f>E235</f>
        <v>7400000</v>
      </c>
      <c r="F234" s="742">
        <f>F235</f>
        <v>7349727</v>
      </c>
      <c r="G234" s="743">
        <f aca="true" t="shared" si="12" ref="G234:G239">F234/E234</f>
        <v>0.9932063513513514</v>
      </c>
    </row>
    <row r="235" spans="1:7" s="694" customFormat="1" ht="19.5" customHeight="1">
      <c r="A235" s="733"/>
      <c r="B235" s="744"/>
      <c r="C235" s="744" t="s">
        <v>711</v>
      </c>
      <c r="D235" s="717">
        <v>7400000</v>
      </c>
      <c r="E235" s="717">
        <v>7400000</v>
      </c>
      <c r="F235" s="717">
        <v>7349727</v>
      </c>
      <c r="G235" s="718">
        <f t="shared" si="12"/>
        <v>0.9932063513513514</v>
      </c>
    </row>
    <row r="236" spans="1:7" s="714" customFormat="1" ht="19.5" customHeight="1">
      <c r="A236" s="709"/>
      <c r="B236" s="741">
        <v>85333</v>
      </c>
      <c r="C236" s="741" t="s">
        <v>528</v>
      </c>
      <c r="D236" s="742">
        <f>SUM(D237:D239)</f>
        <v>618000</v>
      </c>
      <c r="E236" s="742">
        <f>SUM(E237:E239)</f>
        <v>733858</v>
      </c>
      <c r="F236" s="742">
        <f>SUM(F237:F239)</f>
        <v>733858</v>
      </c>
      <c r="G236" s="743">
        <f t="shared" si="12"/>
        <v>1</v>
      </c>
    </row>
    <row r="237" spans="1:7" s="694" customFormat="1" ht="19.5" customHeight="1">
      <c r="A237" s="733"/>
      <c r="B237" s="733"/>
      <c r="C237" s="736" t="s">
        <v>650</v>
      </c>
      <c r="D237" s="726">
        <v>417300</v>
      </c>
      <c r="E237" s="726">
        <v>439558</v>
      </c>
      <c r="F237" s="726">
        <v>439558</v>
      </c>
      <c r="G237" s="737">
        <f t="shared" si="12"/>
        <v>1</v>
      </c>
    </row>
    <row r="238" spans="1:7" s="694" customFormat="1" ht="19.5" customHeight="1">
      <c r="A238" s="733"/>
      <c r="B238" s="733"/>
      <c r="C238" s="746" t="s">
        <v>651</v>
      </c>
      <c r="D238" s="747">
        <f>230700-114000</f>
        <v>116700</v>
      </c>
      <c r="E238" s="747">
        <v>192702</v>
      </c>
      <c r="F238" s="747">
        <v>192702</v>
      </c>
      <c r="G238" s="748">
        <f t="shared" si="12"/>
        <v>1</v>
      </c>
    </row>
    <row r="239" spans="1:7" s="694" customFormat="1" ht="19.5" customHeight="1">
      <c r="A239" s="733"/>
      <c r="B239" s="733"/>
      <c r="C239" s="783" t="s">
        <v>652</v>
      </c>
      <c r="D239" s="781">
        <v>84000</v>
      </c>
      <c r="E239" s="781">
        <v>101598</v>
      </c>
      <c r="F239" s="781">
        <v>101598</v>
      </c>
      <c r="G239" s="782">
        <f t="shared" si="12"/>
        <v>1</v>
      </c>
    </row>
    <row r="240" spans="1:7" s="714" customFormat="1" ht="19.5" customHeight="1">
      <c r="A240" s="709"/>
      <c r="B240" s="711">
        <v>85334</v>
      </c>
      <c r="C240" s="711" t="s">
        <v>486</v>
      </c>
      <c r="D240" s="712">
        <f>D241</f>
        <v>50000</v>
      </c>
      <c r="E240" s="712">
        <f>E241</f>
        <v>50000</v>
      </c>
      <c r="F240" s="712"/>
      <c r="G240" s="713"/>
    </row>
    <row r="241" spans="1:7" s="694" customFormat="1" ht="19.5" customHeight="1">
      <c r="A241" s="733"/>
      <c r="B241" s="744"/>
      <c r="C241" s="744" t="s">
        <v>712</v>
      </c>
      <c r="D241" s="717">
        <v>50000</v>
      </c>
      <c r="E241" s="717">
        <v>50000</v>
      </c>
      <c r="F241" s="717"/>
      <c r="G241" s="718"/>
    </row>
    <row r="242" spans="1:7" s="714" customFormat="1" ht="19.5" customHeight="1">
      <c r="A242" s="709"/>
      <c r="B242" s="741">
        <v>85346</v>
      </c>
      <c r="C242" s="741" t="s">
        <v>685</v>
      </c>
      <c r="D242" s="742">
        <f>D243</f>
        <v>31000</v>
      </c>
      <c r="E242" s="742">
        <f>E243</f>
        <v>31000</v>
      </c>
      <c r="F242" s="742">
        <f>F243</f>
        <v>29603</v>
      </c>
      <c r="G242" s="743">
        <f>F242/E242</f>
        <v>0.9549354838709677</v>
      </c>
    </row>
    <row r="243" spans="1:7" s="694" customFormat="1" ht="19.5" customHeight="1">
      <c r="A243" s="733"/>
      <c r="B243" s="744"/>
      <c r="C243" s="744" t="s">
        <v>686</v>
      </c>
      <c r="D243" s="717">
        <v>31000</v>
      </c>
      <c r="E243" s="717">
        <v>31000</v>
      </c>
      <c r="F243" s="717">
        <v>29603</v>
      </c>
      <c r="G243" s="718">
        <f>F243/E243</f>
        <v>0.9549354838709677</v>
      </c>
    </row>
    <row r="244" spans="1:7" s="714" customFormat="1" ht="19.5" customHeight="1">
      <c r="A244" s="709"/>
      <c r="B244" s="741">
        <v>85395</v>
      </c>
      <c r="C244" s="741" t="s">
        <v>314</v>
      </c>
      <c r="D244" s="742">
        <f>SUM(D245:D251)</f>
        <v>792000</v>
      </c>
      <c r="E244" s="742">
        <f>SUM(E245:E251)</f>
        <v>1457700</v>
      </c>
      <c r="F244" s="742">
        <f>SUM(F245:F251)</f>
        <v>1457700</v>
      </c>
      <c r="G244" s="743">
        <f>F244/E244</f>
        <v>1</v>
      </c>
    </row>
    <row r="245" spans="1:7" s="694" customFormat="1" ht="44.25" customHeight="1">
      <c r="A245" s="733"/>
      <c r="B245" s="786"/>
      <c r="C245" s="759" t="s">
        <v>713</v>
      </c>
      <c r="D245" s="726">
        <f>30000-3000</f>
        <v>27000</v>
      </c>
      <c r="E245" s="726">
        <v>27000</v>
      </c>
      <c r="F245" s="726">
        <v>27000</v>
      </c>
      <c r="G245" s="737">
        <f>F245/E245</f>
        <v>1</v>
      </c>
    </row>
    <row r="246" spans="1:7" s="694" customFormat="1" ht="19.5" customHeight="1">
      <c r="A246" s="733"/>
      <c r="B246" s="709"/>
      <c r="C246" s="779" t="s">
        <v>714</v>
      </c>
      <c r="D246" s="747">
        <v>30000</v>
      </c>
      <c r="E246" s="747">
        <v>30000</v>
      </c>
      <c r="F246" s="747">
        <v>30000</v>
      </c>
      <c r="G246" s="748">
        <f>F246/E246</f>
        <v>1</v>
      </c>
    </row>
    <row r="247" spans="1:7" s="694" customFormat="1" ht="19.5" customHeight="1">
      <c r="A247" s="733"/>
      <c r="B247" s="709"/>
      <c r="C247" s="779" t="s">
        <v>715</v>
      </c>
      <c r="D247" s="747">
        <v>500000</v>
      </c>
      <c r="E247" s="747"/>
      <c r="F247" s="747"/>
      <c r="G247" s="748"/>
    </row>
    <row r="248" spans="1:7" s="694" customFormat="1" ht="19.5" customHeight="1">
      <c r="A248" s="733"/>
      <c r="B248" s="733"/>
      <c r="C248" s="746" t="s">
        <v>716</v>
      </c>
      <c r="D248" s="747">
        <v>180000</v>
      </c>
      <c r="E248" s="747">
        <v>180000</v>
      </c>
      <c r="F248" s="747">
        <v>180000</v>
      </c>
      <c r="G248" s="748">
        <f>F248/E248</f>
        <v>1</v>
      </c>
    </row>
    <row r="249" spans="1:7" s="694" customFormat="1" ht="19.5" customHeight="1">
      <c r="A249" s="733"/>
      <c r="B249" s="733"/>
      <c r="C249" s="746" t="s">
        <v>717</v>
      </c>
      <c r="D249" s="747">
        <v>40000</v>
      </c>
      <c r="E249" s="747">
        <v>40000</v>
      </c>
      <c r="F249" s="747">
        <v>40000</v>
      </c>
      <c r="G249" s="748">
        <f>F249/E249</f>
        <v>1</v>
      </c>
    </row>
    <row r="250" spans="1:7" s="694" customFormat="1" ht="19.5" customHeight="1">
      <c r="A250" s="733"/>
      <c r="B250" s="733"/>
      <c r="C250" s="779" t="s">
        <v>718</v>
      </c>
      <c r="D250" s="747"/>
      <c r="E250" s="747">
        <v>1180700</v>
      </c>
      <c r="F250" s="747">
        <v>1180700</v>
      </c>
      <c r="G250" s="748">
        <f>F250/E250</f>
        <v>1</v>
      </c>
    </row>
    <row r="251" spans="1:7" s="694" customFormat="1" ht="19.5" customHeight="1">
      <c r="A251" s="738"/>
      <c r="B251" s="738"/>
      <c r="C251" s="738" t="s">
        <v>719</v>
      </c>
      <c r="D251" s="739">
        <v>15000</v>
      </c>
      <c r="E251" s="739"/>
      <c r="F251" s="739"/>
      <c r="G251" s="740"/>
    </row>
    <row r="252" spans="1:7" s="694" customFormat="1" ht="19.5" customHeight="1">
      <c r="A252" s="706">
        <v>854</v>
      </c>
      <c r="B252" s="706"/>
      <c r="C252" s="706" t="s">
        <v>408</v>
      </c>
      <c r="D252" s="707">
        <f>D253+D257+D263+D269+D273+D277+D281+D287+D289+D292+D298+D306+D296</f>
        <v>80905700</v>
      </c>
      <c r="E252" s="707">
        <f>E253+E257+E263+E269+E273+E277+E281+E287+E289+E292+E298+E306+E296</f>
        <v>81908221</v>
      </c>
      <c r="F252" s="707">
        <f>F253+F257+F263+F269+F273+F277+F281+F287+F289+F292+F298+F306+F296</f>
        <v>81233163</v>
      </c>
      <c r="G252" s="708">
        <f aca="true" t="shared" si="13" ref="G252:G268">F252/E252</f>
        <v>0.9917583608609934</v>
      </c>
    </row>
    <row r="253" spans="1:7" s="694" customFormat="1" ht="19.5" customHeight="1">
      <c r="A253" s="733"/>
      <c r="B253" s="711">
        <v>85401</v>
      </c>
      <c r="C253" s="711" t="s">
        <v>409</v>
      </c>
      <c r="D253" s="712">
        <f>SUM(D254:D256)</f>
        <v>5323000</v>
      </c>
      <c r="E253" s="712">
        <f>SUM(E254:E256)</f>
        <v>5584646</v>
      </c>
      <c r="F253" s="712">
        <f>SUM(F254:F256)</f>
        <v>5566551</v>
      </c>
      <c r="G253" s="713">
        <f t="shared" si="13"/>
        <v>0.9967598662475652</v>
      </c>
    </row>
    <row r="254" spans="1:7" s="694" customFormat="1" ht="19.5" customHeight="1">
      <c r="A254" s="733"/>
      <c r="B254" s="733"/>
      <c r="C254" s="736" t="s">
        <v>650</v>
      </c>
      <c r="D254" s="726">
        <f>4250000-200000</f>
        <v>4050000</v>
      </c>
      <c r="E254" s="726">
        <v>4361457</v>
      </c>
      <c r="F254" s="726">
        <v>4351044</v>
      </c>
      <c r="G254" s="737">
        <f t="shared" si="13"/>
        <v>0.9976124950905167</v>
      </c>
    </row>
    <row r="255" spans="1:7" s="694" customFormat="1" ht="19.5" customHeight="1">
      <c r="A255" s="733"/>
      <c r="B255" s="733"/>
      <c r="C255" s="746" t="s">
        <v>651</v>
      </c>
      <c r="D255" s="747">
        <v>413000</v>
      </c>
      <c r="E255" s="747">
        <v>377736</v>
      </c>
      <c r="F255" s="747">
        <v>371735</v>
      </c>
      <c r="G255" s="748">
        <f t="shared" si="13"/>
        <v>0.9841132431115912</v>
      </c>
    </row>
    <row r="256" spans="1:7" s="694" customFormat="1" ht="19.5" customHeight="1">
      <c r="A256" s="733"/>
      <c r="B256" s="738"/>
      <c r="C256" s="738" t="s">
        <v>652</v>
      </c>
      <c r="D256" s="739">
        <v>860000</v>
      </c>
      <c r="E256" s="739">
        <v>845453</v>
      </c>
      <c r="F256" s="739">
        <v>843772</v>
      </c>
      <c r="G256" s="740">
        <f t="shared" si="13"/>
        <v>0.9980117167956113</v>
      </c>
    </row>
    <row r="257" spans="1:7" s="694" customFormat="1" ht="19.5" customHeight="1">
      <c r="A257" s="733"/>
      <c r="B257" s="741">
        <v>85403</v>
      </c>
      <c r="C257" s="741" t="s">
        <v>720</v>
      </c>
      <c r="D257" s="742">
        <f>SUM(D258:D262)</f>
        <v>7610000</v>
      </c>
      <c r="E257" s="742">
        <f>SUM(E258:E262)</f>
        <v>7762930</v>
      </c>
      <c r="F257" s="742">
        <f>SUM(F258:F262)</f>
        <v>7681471</v>
      </c>
      <c r="G257" s="743">
        <f t="shared" si="13"/>
        <v>0.9895066682296504</v>
      </c>
    </row>
    <row r="258" spans="1:7" s="694" customFormat="1" ht="19.5" customHeight="1">
      <c r="A258" s="733"/>
      <c r="B258" s="735"/>
      <c r="C258" s="736" t="s">
        <v>650</v>
      </c>
      <c r="D258" s="726">
        <v>4870000</v>
      </c>
      <c r="E258" s="726">
        <v>4875803</v>
      </c>
      <c r="F258" s="726">
        <v>4871661</v>
      </c>
      <c r="G258" s="737">
        <f t="shared" si="13"/>
        <v>0.9991504989024372</v>
      </c>
    </row>
    <row r="259" spans="1:7" s="694" customFormat="1" ht="19.5" customHeight="1">
      <c r="A259" s="738"/>
      <c r="B259" s="738"/>
      <c r="C259" s="778" t="s">
        <v>651</v>
      </c>
      <c r="D259" s="761">
        <v>1051000</v>
      </c>
      <c r="E259" s="761">
        <v>1155781</v>
      </c>
      <c r="F259" s="761">
        <v>1131489</v>
      </c>
      <c r="G259" s="762">
        <f t="shared" si="13"/>
        <v>0.9789821774194246</v>
      </c>
    </row>
    <row r="260" spans="1:7" s="694" customFormat="1" ht="19.5" customHeight="1">
      <c r="A260" s="733"/>
      <c r="B260" s="733"/>
      <c r="C260" s="745" t="s">
        <v>652</v>
      </c>
      <c r="D260" s="727">
        <v>950000</v>
      </c>
      <c r="E260" s="727">
        <v>967306</v>
      </c>
      <c r="F260" s="727">
        <v>962585</v>
      </c>
      <c r="G260" s="728">
        <f t="shared" si="13"/>
        <v>0.9951194348013969</v>
      </c>
    </row>
    <row r="261" spans="1:7" s="694" customFormat="1" ht="19.5" customHeight="1">
      <c r="A261" s="733"/>
      <c r="B261" s="733"/>
      <c r="C261" s="779" t="s">
        <v>721</v>
      </c>
      <c r="D261" s="747">
        <v>550000</v>
      </c>
      <c r="E261" s="747">
        <v>575040</v>
      </c>
      <c r="F261" s="747">
        <v>527120</v>
      </c>
      <c r="G261" s="748">
        <f t="shared" si="13"/>
        <v>0.9166666666666666</v>
      </c>
    </row>
    <row r="262" spans="1:7" s="694" customFormat="1" ht="19.5" customHeight="1">
      <c r="A262" s="733"/>
      <c r="B262" s="738"/>
      <c r="C262" s="738" t="s">
        <v>722</v>
      </c>
      <c r="D262" s="739">
        <f>81000+108000</f>
        <v>189000</v>
      </c>
      <c r="E262" s="739">
        <v>189000</v>
      </c>
      <c r="F262" s="739">
        <v>188616</v>
      </c>
      <c r="G262" s="740">
        <f t="shared" si="13"/>
        <v>0.997968253968254</v>
      </c>
    </row>
    <row r="263" spans="1:7" s="694" customFormat="1" ht="19.5" customHeight="1">
      <c r="A263" s="733"/>
      <c r="B263" s="741">
        <v>85404</v>
      </c>
      <c r="C263" s="741" t="s">
        <v>410</v>
      </c>
      <c r="D263" s="742">
        <f>SUM(D264:D267)</f>
        <v>43722000</v>
      </c>
      <c r="E263" s="742">
        <f>SUM(E264:E268)</f>
        <v>43516265</v>
      </c>
      <c r="F263" s="742">
        <f>SUM(F264:F268)</f>
        <v>43199497</v>
      </c>
      <c r="G263" s="743">
        <f t="shared" si="13"/>
        <v>0.9927206988007817</v>
      </c>
    </row>
    <row r="264" spans="1:7" s="694" customFormat="1" ht="19.5" customHeight="1">
      <c r="A264" s="733"/>
      <c r="B264" s="733"/>
      <c r="C264" s="736" t="s">
        <v>650</v>
      </c>
      <c r="D264" s="726">
        <f>28800000-100000</f>
        <v>28700000</v>
      </c>
      <c r="E264" s="726">
        <v>28340960</v>
      </c>
      <c r="F264" s="726">
        <v>28335077</v>
      </c>
      <c r="G264" s="737">
        <f t="shared" si="13"/>
        <v>0.9997924205813776</v>
      </c>
    </row>
    <row r="265" spans="1:7" s="694" customFormat="1" ht="19.5" customHeight="1">
      <c r="A265" s="733"/>
      <c r="B265" s="733"/>
      <c r="C265" s="746" t="s">
        <v>651</v>
      </c>
      <c r="D265" s="747">
        <v>6048000</v>
      </c>
      <c r="E265" s="747">
        <v>6487461</v>
      </c>
      <c r="F265" s="747">
        <v>6329389</v>
      </c>
      <c r="G265" s="748">
        <f t="shared" si="13"/>
        <v>0.9756342273194397</v>
      </c>
    </row>
    <row r="266" spans="1:7" s="694" customFormat="1" ht="19.5" customHeight="1">
      <c r="A266" s="733"/>
      <c r="B266" s="733"/>
      <c r="C266" s="746" t="s">
        <v>652</v>
      </c>
      <c r="D266" s="747">
        <v>5774000</v>
      </c>
      <c r="E266" s="747">
        <v>5618779</v>
      </c>
      <c r="F266" s="747">
        <v>5617921</v>
      </c>
      <c r="G266" s="748">
        <f t="shared" si="13"/>
        <v>0.9998472977848034</v>
      </c>
    </row>
    <row r="267" spans="1:7" s="694" customFormat="1" ht="19.5" customHeight="1">
      <c r="A267" s="733"/>
      <c r="B267" s="733"/>
      <c r="C267" s="746" t="s">
        <v>723</v>
      </c>
      <c r="D267" s="747">
        <v>3200000</v>
      </c>
      <c r="E267" s="747">
        <v>3064265</v>
      </c>
      <c r="F267" s="747">
        <v>2912310</v>
      </c>
      <c r="G267" s="748">
        <f t="shared" si="13"/>
        <v>0.9504106204913739</v>
      </c>
    </row>
    <row r="268" spans="1:7" s="694" customFormat="1" ht="19.5" customHeight="1">
      <c r="A268" s="733"/>
      <c r="B268" s="738"/>
      <c r="C268" s="738" t="s">
        <v>624</v>
      </c>
      <c r="D268" s="739"/>
      <c r="E268" s="739">
        <v>4800</v>
      </c>
      <c r="F268" s="739">
        <v>4800</v>
      </c>
      <c r="G268" s="748">
        <f t="shared" si="13"/>
        <v>1</v>
      </c>
    </row>
    <row r="269" spans="1:7" s="694" customFormat="1" ht="19.5" customHeight="1">
      <c r="A269" s="733"/>
      <c r="B269" s="711">
        <v>85405</v>
      </c>
      <c r="C269" s="711" t="s">
        <v>412</v>
      </c>
      <c r="D269" s="712">
        <f>SUM(D270:D272)</f>
        <v>1327000</v>
      </c>
      <c r="E269" s="712">
        <f>SUM(E270:E272)</f>
        <v>1385400</v>
      </c>
      <c r="F269" s="712">
        <f>SUM(F270:F272)</f>
        <v>1385384</v>
      </c>
      <c r="G269" s="713">
        <v>0.9999</v>
      </c>
    </row>
    <row r="270" spans="1:7" s="694" customFormat="1" ht="19.5" customHeight="1">
      <c r="A270" s="733"/>
      <c r="B270" s="733"/>
      <c r="C270" s="736" t="s">
        <v>650</v>
      </c>
      <c r="D270" s="726">
        <v>990000</v>
      </c>
      <c r="E270" s="726">
        <v>1060000</v>
      </c>
      <c r="F270" s="726">
        <v>1059996</v>
      </c>
      <c r="G270" s="737">
        <v>0.9999</v>
      </c>
    </row>
    <row r="271" spans="1:7" s="694" customFormat="1" ht="19.5" customHeight="1">
      <c r="A271" s="733"/>
      <c r="B271" s="733"/>
      <c r="C271" s="746" t="s">
        <v>651</v>
      </c>
      <c r="D271" s="747">
        <v>137000</v>
      </c>
      <c r="E271" s="747">
        <v>146800</v>
      </c>
      <c r="F271" s="747">
        <v>146788</v>
      </c>
      <c r="G271" s="748">
        <f aca="true" t="shared" si="14" ref="G271:G276">F271/E271</f>
        <v>0.9999182561307902</v>
      </c>
    </row>
    <row r="272" spans="1:7" s="694" customFormat="1" ht="19.5" customHeight="1">
      <c r="A272" s="733"/>
      <c r="B272" s="738"/>
      <c r="C272" s="738" t="s">
        <v>652</v>
      </c>
      <c r="D272" s="739">
        <v>200000</v>
      </c>
      <c r="E272" s="739">
        <v>178600</v>
      </c>
      <c r="F272" s="739">
        <v>178600</v>
      </c>
      <c r="G272" s="740">
        <f t="shared" si="14"/>
        <v>1</v>
      </c>
    </row>
    <row r="273" spans="1:7" s="714" customFormat="1" ht="29.25" customHeight="1">
      <c r="A273" s="709"/>
      <c r="B273" s="763">
        <v>85406</v>
      </c>
      <c r="C273" s="757" t="s">
        <v>724</v>
      </c>
      <c r="D273" s="742">
        <f>SUM(D274:D276)</f>
        <v>4756500</v>
      </c>
      <c r="E273" s="742">
        <f>SUM(E274:E276)</f>
        <v>4858950</v>
      </c>
      <c r="F273" s="742">
        <f>SUM(F274:F276)</f>
        <v>4777299</v>
      </c>
      <c r="G273" s="743">
        <f t="shared" si="14"/>
        <v>0.9831957521686784</v>
      </c>
    </row>
    <row r="274" spans="1:7" s="694" customFormat="1" ht="19.5" customHeight="1">
      <c r="A274" s="733"/>
      <c r="B274" s="733"/>
      <c r="C274" s="736" t="s">
        <v>650</v>
      </c>
      <c r="D274" s="726">
        <f>3600000-100000</f>
        <v>3500000</v>
      </c>
      <c r="E274" s="726">
        <v>3616370</v>
      </c>
      <c r="F274" s="726">
        <v>3578356</v>
      </c>
      <c r="G274" s="737">
        <f t="shared" si="14"/>
        <v>0.9894883543442734</v>
      </c>
    </row>
    <row r="275" spans="1:7" s="694" customFormat="1" ht="19.5" customHeight="1">
      <c r="A275" s="733"/>
      <c r="B275" s="733"/>
      <c r="C275" s="746" t="s">
        <v>651</v>
      </c>
      <c r="D275" s="747">
        <v>536500</v>
      </c>
      <c r="E275" s="747">
        <v>540789</v>
      </c>
      <c r="F275" s="747">
        <v>499415</v>
      </c>
      <c r="G275" s="748">
        <f t="shared" si="14"/>
        <v>0.923493266320136</v>
      </c>
    </row>
    <row r="276" spans="1:7" s="694" customFormat="1" ht="19.5" customHeight="1">
      <c r="A276" s="733"/>
      <c r="B276" s="733"/>
      <c r="C276" s="783" t="s">
        <v>652</v>
      </c>
      <c r="D276" s="781">
        <v>720000</v>
      </c>
      <c r="E276" s="781">
        <v>701791</v>
      </c>
      <c r="F276" s="781">
        <v>699528</v>
      </c>
      <c r="G276" s="782">
        <f t="shared" si="14"/>
        <v>0.9967753932438576</v>
      </c>
    </row>
    <row r="277" spans="1:7" s="714" customFormat="1" ht="19.5" customHeight="1">
      <c r="A277" s="709"/>
      <c r="B277" s="711">
        <v>85407</v>
      </c>
      <c r="C277" s="711" t="s">
        <v>532</v>
      </c>
      <c r="D277" s="712">
        <f>SUM(D278:D280)</f>
        <v>2062000</v>
      </c>
      <c r="E277" s="712">
        <f>SUM(E278:E280)</f>
        <v>2080375</v>
      </c>
      <c r="F277" s="712">
        <f>SUM(F278:F280)</f>
        <v>2080319</v>
      </c>
      <c r="G277" s="713">
        <v>0.9999</v>
      </c>
    </row>
    <row r="278" spans="1:7" s="694" customFormat="1" ht="19.5" customHeight="1">
      <c r="A278" s="733"/>
      <c r="B278" s="733"/>
      <c r="C278" s="736" t="s">
        <v>650</v>
      </c>
      <c r="D278" s="726">
        <v>1440000</v>
      </c>
      <c r="E278" s="726">
        <v>1465367</v>
      </c>
      <c r="F278" s="726">
        <v>1465358</v>
      </c>
      <c r="G278" s="737">
        <v>0.9999</v>
      </c>
    </row>
    <row r="279" spans="1:7" s="694" customFormat="1" ht="19.5" customHeight="1">
      <c r="A279" s="733"/>
      <c r="B279" s="733"/>
      <c r="C279" s="745" t="s">
        <v>651</v>
      </c>
      <c r="D279" s="727">
        <v>352000</v>
      </c>
      <c r="E279" s="727">
        <v>330186</v>
      </c>
      <c r="F279" s="727">
        <v>330153</v>
      </c>
      <c r="G279" s="728">
        <f>F279/E279</f>
        <v>0.9999000563318856</v>
      </c>
    </row>
    <row r="280" spans="1:7" s="694" customFormat="1" ht="19.5" customHeight="1">
      <c r="A280" s="733"/>
      <c r="B280" s="733"/>
      <c r="C280" s="783" t="s">
        <v>652</v>
      </c>
      <c r="D280" s="781">
        <v>270000</v>
      </c>
      <c r="E280" s="781">
        <v>284822</v>
      </c>
      <c r="F280" s="781">
        <v>284808</v>
      </c>
      <c r="G280" s="782">
        <v>0.9999</v>
      </c>
    </row>
    <row r="281" spans="1:7" s="714" customFormat="1" ht="19.5" customHeight="1">
      <c r="A281" s="709"/>
      <c r="B281" s="711">
        <v>85410</v>
      </c>
      <c r="C281" s="711" t="s">
        <v>534</v>
      </c>
      <c r="D281" s="712">
        <f>SUM(D282:D285)</f>
        <v>6473000</v>
      </c>
      <c r="E281" s="712">
        <f>SUM(E282:E286)</f>
        <v>6571197</v>
      </c>
      <c r="F281" s="712">
        <f>SUM(F282:F286)</f>
        <v>6491826</v>
      </c>
      <c r="G281" s="713">
        <f aca="true" t="shared" si="15" ref="G281:G312">F281/E281</f>
        <v>0.9879213787077149</v>
      </c>
    </row>
    <row r="282" spans="1:7" s="694" customFormat="1" ht="19.5" customHeight="1">
      <c r="A282" s="733"/>
      <c r="B282" s="733"/>
      <c r="C282" s="736" t="s">
        <v>650</v>
      </c>
      <c r="D282" s="726">
        <f>3900000-50000</f>
        <v>3850000</v>
      </c>
      <c r="E282" s="726">
        <v>3904508</v>
      </c>
      <c r="F282" s="726">
        <v>3879010</v>
      </c>
      <c r="G282" s="737">
        <f t="shared" si="15"/>
        <v>0.99346959975495</v>
      </c>
    </row>
    <row r="283" spans="1:7" s="694" customFormat="1" ht="19.5" customHeight="1">
      <c r="A283" s="733"/>
      <c r="B283" s="733"/>
      <c r="C283" s="746" t="s">
        <v>651</v>
      </c>
      <c r="D283" s="747">
        <v>1368000</v>
      </c>
      <c r="E283" s="747">
        <v>1348741</v>
      </c>
      <c r="F283" s="747">
        <v>1314872</v>
      </c>
      <c r="G283" s="748">
        <f t="shared" si="15"/>
        <v>0.9748884329904703</v>
      </c>
    </row>
    <row r="284" spans="1:7" s="694" customFormat="1" ht="19.5" customHeight="1">
      <c r="A284" s="733"/>
      <c r="B284" s="733"/>
      <c r="C284" s="746" t="s">
        <v>652</v>
      </c>
      <c r="D284" s="747">
        <v>755000</v>
      </c>
      <c r="E284" s="747">
        <v>761878</v>
      </c>
      <c r="F284" s="747">
        <v>759559</v>
      </c>
      <c r="G284" s="748">
        <f t="shared" si="15"/>
        <v>0.9969562055867213</v>
      </c>
    </row>
    <row r="285" spans="1:7" s="694" customFormat="1" ht="19.5" customHeight="1">
      <c r="A285" s="733"/>
      <c r="B285" s="733"/>
      <c r="C285" s="746" t="s">
        <v>725</v>
      </c>
      <c r="D285" s="747">
        <v>500000</v>
      </c>
      <c r="E285" s="747">
        <v>546270</v>
      </c>
      <c r="F285" s="747">
        <v>528585</v>
      </c>
      <c r="G285" s="748">
        <f t="shared" si="15"/>
        <v>0.9676258992805755</v>
      </c>
    </row>
    <row r="286" spans="1:7" s="694" customFormat="1" ht="19.5" customHeight="1">
      <c r="A286" s="738"/>
      <c r="B286" s="738"/>
      <c r="C286" s="738" t="s">
        <v>624</v>
      </c>
      <c r="D286" s="739"/>
      <c r="E286" s="739">
        <v>9800</v>
      </c>
      <c r="F286" s="739">
        <v>9800</v>
      </c>
      <c r="G286" s="762">
        <f t="shared" si="15"/>
        <v>1</v>
      </c>
    </row>
    <row r="287" spans="1:7" s="714" customFormat="1" ht="29.25" customHeight="1">
      <c r="A287" s="709"/>
      <c r="B287" s="772">
        <v>85412</v>
      </c>
      <c r="C287" s="773" t="s">
        <v>726</v>
      </c>
      <c r="D287" s="712">
        <f>SUM(D288:D288)</f>
        <v>143000</v>
      </c>
      <c r="E287" s="712">
        <f>SUM(E288:E288)</f>
        <v>143000</v>
      </c>
      <c r="F287" s="712">
        <f>SUM(F288:F288)</f>
        <v>142692</v>
      </c>
      <c r="G287" s="713">
        <f t="shared" si="15"/>
        <v>0.9978461538461538</v>
      </c>
    </row>
    <row r="288" spans="1:7" s="694" customFormat="1" ht="27.75" customHeight="1">
      <c r="A288" s="733"/>
      <c r="B288" s="744"/>
      <c r="C288" s="716" t="s">
        <v>727</v>
      </c>
      <c r="D288" s="717">
        <v>143000</v>
      </c>
      <c r="E288" s="717">
        <v>143000</v>
      </c>
      <c r="F288" s="717">
        <v>142692</v>
      </c>
      <c r="G288" s="718">
        <f t="shared" si="15"/>
        <v>0.9978461538461538</v>
      </c>
    </row>
    <row r="289" spans="1:7" s="714" customFormat="1" ht="19.5" customHeight="1">
      <c r="A289" s="709"/>
      <c r="B289" s="741">
        <v>85415</v>
      </c>
      <c r="C289" s="741" t="s">
        <v>560</v>
      </c>
      <c r="D289" s="742">
        <f>SUM(D290:D291)</f>
        <v>597000</v>
      </c>
      <c r="E289" s="742">
        <f>SUM(E290:E291)</f>
        <v>1248625</v>
      </c>
      <c r="F289" s="742">
        <f>SUM(F290:F291)</f>
        <v>1241644</v>
      </c>
      <c r="G289" s="743">
        <f t="shared" si="15"/>
        <v>0.9944090499549505</v>
      </c>
    </row>
    <row r="290" spans="1:7" s="694" customFormat="1" ht="21" customHeight="1">
      <c r="A290" s="733"/>
      <c r="B290" s="733"/>
      <c r="C290" s="779" t="s">
        <v>728</v>
      </c>
      <c r="D290" s="747">
        <v>597000</v>
      </c>
      <c r="E290" s="747">
        <v>630963</v>
      </c>
      <c r="F290" s="747">
        <v>623982</v>
      </c>
      <c r="G290" s="748">
        <f t="shared" si="15"/>
        <v>0.9889359597947899</v>
      </c>
    </row>
    <row r="291" spans="1:7" s="694" customFormat="1" ht="19.5" customHeight="1">
      <c r="A291" s="733"/>
      <c r="B291" s="738"/>
      <c r="C291" s="738" t="s">
        <v>729</v>
      </c>
      <c r="D291" s="739"/>
      <c r="E291" s="739">
        <v>617662</v>
      </c>
      <c r="F291" s="739">
        <v>617662</v>
      </c>
      <c r="G291" s="740">
        <f t="shared" si="15"/>
        <v>1</v>
      </c>
    </row>
    <row r="292" spans="1:7" s="714" customFormat="1" ht="19.5" customHeight="1">
      <c r="A292" s="709"/>
      <c r="B292" s="741">
        <v>85417</v>
      </c>
      <c r="C292" s="741" t="s">
        <v>536</v>
      </c>
      <c r="D292" s="742">
        <f>SUM(D293:D295)</f>
        <v>234000</v>
      </c>
      <c r="E292" s="742">
        <f>SUM(E293:E295)</f>
        <v>242700</v>
      </c>
      <c r="F292" s="742">
        <f>SUM(F293:F295)</f>
        <v>242624</v>
      </c>
      <c r="G292" s="743">
        <f t="shared" si="15"/>
        <v>0.9996868562010712</v>
      </c>
    </row>
    <row r="293" spans="1:7" s="694" customFormat="1" ht="19.5" customHeight="1">
      <c r="A293" s="733"/>
      <c r="B293" s="733"/>
      <c r="C293" s="736" t="s">
        <v>650</v>
      </c>
      <c r="D293" s="726">
        <v>149000</v>
      </c>
      <c r="E293" s="726">
        <v>153300</v>
      </c>
      <c r="F293" s="726">
        <v>153300</v>
      </c>
      <c r="G293" s="737">
        <f t="shared" si="15"/>
        <v>1</v>
      </c>
    </row>
    <row r="294" spans="1:7" s="694" customFormat="1" ht="19.5" customHeight="1">
      <c r="A294" s="733"/>
      <c r="B294" s="733"/>
      <c r="C294" s="746" t="s">
        <v>651</v>
      </c>
      <c r="D294" s="747">
        <v>56000</v>
      </c>
      <c r="E294" s="747">
        <v>59668</v>
      </c>
      <c r="F294" s="747">
        <v>59595</v>
      </c>
      <c r="G294" s="748">
        <f t="shared" si="15"/>
        <v>0.9987765636522089</v>
      </c>
    </row>
    <row r="295" spans="1:7" s="694" customFormat="1" ht="19.5" customHeight="1">
      <c r="A295" s="733"/>
      <c r="B295" s="738"/>
      <c r="C295" s="738" t="s">
        <v>652</v>
      </c>
      <c r="D295" s="739">
        <v>29000</v>
      </c>
      <c r="E295" s="739">
        <v>29732</v>
      </c>
      <c r="F295" s="739">
        <v>29729</v>
      </c>
      <c r="G295" s="740">
        <f t="shared" si="15"/>
        <v>0.9998990986142876</v>
      </c>
    </row>
    <row r="296" spans="1:7" s="714" customFormat="1" ht="19.5" customHeight="1">
      <c r="A296" s="709"/>
      <c r="B296" s="741">
        <v>85446</v>
      </c>
      <c r="C296" s="741" t="s">
        <v>685</v>
      </c>
      <c r="D296" s="742">
        <f>D297</f>
        <v>312000</v>
      </c>
      <c r="E296" s="742">
        <f>E297</f>
        <v>312000</v>
      </c>
      <c r="F296" s="742">
        <f>F297</f>
        <v>298864</v>
      </c>
      <c r="G296" s="743">
        <f t="shared" si="15"/>
        <v>0.9578974358974359</v>
      </c>
    </row>
    <row r="297" spans="1:7" s="694" customFormat="1" ht="19.5" customHeight="1">
      <c r="A297" s="733"/>
      <c r="B297" s="744"/>
      <c r="C297" s="716" t="s">
        <v>686</v>
      </c>
      <c r="D297" s="717">
        <v>312000</v>
      </c>
      <c r="E297" s="717">
        <v>312000</v>
      </c>
      <c r="F297" s="717">
        <v>298864</v>
      </c>
      <c r="G297" s="718">
        <f t="shared" si="15"/>
        <v>0.9578974358974359</v>
      </c>
    </row>
    <row r="298" spans="1:7" s="714" customFormat="1" ht="19.5" customHeight="1">
      <c r="A298" s="709"/>
      <c r="B298" s="741">
        <v>85495</v>
      </c>
      <c r="C298" s="741" t="s">
        <v>314</v>
      </c>
      <c r="D298" s="742">
        <f>SUM(D300:D305)</f>
        <v>8313200</v>
      </c>
      <c r="E298" s="742">
        <f>E299+E304+E305</f>
        <v>8169133</v>
      </c>
      <c r="F298" s="742">
        <f>F299+F304+F305</f>
        <v>8091992</v>
      </c>
      <c r="G298" s="743">
        <f t="shared" si="15"/>
        <v>0.990557015046762</v>
      </c>
    </row>
    <row r="299" spans="1:7" s="694" customFormat="1" ht="19.5" customHeight="1">
      <c r="A299" s="733"/>
      <c r="B299" s="733"/>
      <c r="C299" s="736" t="s">
        <v>730</v>
      </c>
      <c r="D299" s="726">
        <f>SUM(D300:D302)</f>
        <v>8134200</v>
      </c>
      <c r="E299" s="727">
        <f>SUM(E300:E303)</f>
        <v>7899550</v>
      </c>
      <c r="F299" s="727">
        <f>SUM(F300:F303)</f>
        <v>7822409</v>
      </c>
      <c r="G299" s="728">
        <f t="shared" si="15"/>
        <v>0.9902347602078599</v>
      </c>
    </row>
    <row r="300" spans="1:7" s="694" customFormat="1" ht="19.5" customHeight="1">
      <c r="A300" s="733"/>
      <c r="B300" s="733"/>
      <c r="C300" s="787" t="s">
        <v>650</v>
      </c>
      <c r="D300" s="788">
        <v>5217000</v>
      </c>
      <c r="E300" s="788">
        <v>5045725</v>
      </c>
      <c r="F300" s="788">
        <v>5017773</v>
      </c>
      <c r="G300" s="789">
        <f t="shared" si="15"/>
        <v>0.994460260913942</v>
      </c>
    </row>
    <row r="301" spans="1:7" s="694" customFormat="1" ht="19.5" customHeight="1">
      <c r="A301" s="733"/>
      <c r="B301" s="733"/>
      <c r="C301" s="790" t="s">
        <v>651</v>
      </c>
      <c r="D301" s="791">
        <v>1877200</v>
      </c>
      <c r="E301" s="791">
        <v>1896415</v>
      </c>
      <c r="F301" s="791">
        <v>1854444</v>
      </c>
      <c r="G301" s="792">
        <f t="shared" si="15"/>
        <v>0.9778682408650006</v>
      </c>
    </row>
    <row r="302" spans="1:7" s="694" customFormat="1" ht="19.5" customHeight="1">
      <c r="A302" s="733"/>
      <c r="B302" s="733"/>
      <c r="C302" s="790" t="s">
        <v>652</v>
      </c>
      <c r="D302" s="791">
        <v>1040000</v>
      </c>
      <c r="E302" s="791">
        <v>921683</v>
      </c>
      <c r="F302" s="791">
        <v>914465</v>
      </c>
      <c r="G302" s="792">
        <f t="shared" si="15"/>
        <v>0.9921686740451977</v>
      </c>
    </row>
    <row r="303" spans="1:7" s="694" customFormat="1" ht="19.5" customHeight="1">
      <c r="A303" s="733"/>
      <c r="B303" s="733"/>
      <c r="C303" s="790" t="s">
        <v>624</v>
      </c>
      <c r="D303" s="791"/>
      <c r="E303" s="791">
        <v>35727</v>
      </c>
      <c r="F303" s="791">
        <v>35727</v>
      </c>
      <c r="G303" s="792">
        <f t="shared" si="15"/>
        <v>1</v>
      </c>
    </row>
    <row r="304" spans="1:7" s="694" customFormat="1" ht="25.5" customHeight="1">
      <c r="A304" s="733"/>
      <c r="B304" s="733"/>
      <c r="C304" s="793" t="s">
        <v>687</v>
      </c>
      <c r="D304" s="794">
        <v>2000</v>
      </c>
      <c r="E304" s="794">
        <v>2000</v>
      </c>
      <c r="F304" s="794">
        <v>2000</v>
      </c>
      <c r="G304" s="795">
        <f t="shared" si="15"/>
        <v>1</v>
      </c>
    </row>
    <row r="305" spans="1:7" s="694" customFormat="1" ht="29.25" customHeight="1">
      <c r="A305" s="733"/>
      <c r="B305" s="738"/>
      <c r="C305" s="760" t="s">
        <v>689</v>
      </c>
      <c r="D305" s="761">
        <f>175000+2000</f>
        <v>177000</v>
      </c>
      <c r="E305" s="761">
        <v>267583</v>
      </c>
      <c r="F305" s="761">
        <v>267583</v>
      </c>
      <c r="G305" s="762">
        <f t="shared" si="15"/>
        <v>1</v>
      </c>
    </row>
    <row r="306" spans="1:7" s="714" customFormat="1" ht="19.5" customHeight="1">
      <c r="A306" s="709"/>
      <c r="B306" s="741">
        <v>85497</v>
      </c>
      <c r="C306" s="741" t="s">
        <v>518</v>
      </c>
      <c r="D306" s="742">
        <f>SUM(D307:D307)</f>
        <v>33000</v>
      </c>
      <c r="E306" s="742">
        <f>SUM(E307:E307)</f>
        <v>33000</v>
      </c>
      <c r="F306" s="742">
        <f>SUM(F307:F307)</f>
        <v>33000</v>
      </c>
      <c r="G306" s="743">
        <f t="shared" si="15"/>
        <v>1</v>
      </c>
    </row>
    <row r="307" spans="1:7" s="694" customFormat="1" ht="27.75" customHeight="1">
      <c r="A307" s="738"/>
      <c r="B307" s="738"/>
      <c r="C307" s="716" t="s">
        <v>691</v>
      </c>
      <c r="D307" s="717">
        <v>33000</v>
      </c>
      <c r="E307" s="717">
        <v>33000</v>
      </c>
      <c r="F307" s="717">
        <v>33000</v>
      </c>
      <c r="G307" s="718">
        <f t="shared" si="15"/>
        <v>1</v>
      </c>
    </row>
    <row r="308" spans="1:7" s="694" customFormat="1" ht="19.5" customHeight="1">
      <c r="A308" s="706">
        <v>900</v>
      </c>
      <c r="B308" s="706"/>
      <c r="C308" s="706" t="s">
        <v>731</v>
      </c>
      <c r="D308" s="707">
        <f>D309+D318+D329+D334+D336+D341</f>
        <v>31534160</v>
      </c>
      <c r="E308" s="707">
        <f>E309+E318+E329+E334+E336+E341</f>
        <v>34258160</v>
      </c>
      <c r="F308" s="707">
        <f>F309+F318+F329+F334+F336+F341</f>
        <v>31204806</v>
      </c>
      <c r="G308" s="708">
        <f t="shared" si="15"/>
        <v>0.9108722126348876</v>
      </c>
    </row>
    <row r="309" spans="1:7" s="714" customFormat="1" ht="19.5" customHeight="1">
      <c r="A309" s="709"/>
      <c r="B309" s="711">
        <v>90001</v>
      </c>
      <c r="C309" s="711" t="s">
        <v>732</v>
      </c>
      <c r="D309" s="712">
        <f>SUM(D310:D317)</f>
        <v>4803800</v>
      </c>
      <c r="E309" s="712">
        <f>SUM(E310:E317)</f>
        <v>4796600</v>
      </c>
      <c r="F309" s="712">
        <f>SUM(F310:F317)</f>
        <v>4427345</v>
      </c>
      <c r="G309" s="713">
        <f t="shared" si="15"/>
        <v>0.9230173456198141</v>
      </c>
    </row>
    <row r="310" spans="1:7" s="694" customFormat="1" ht="20.25" customHeight="1">
      <c r="A310" s="738"/>
      <c r="B310" s="738"/>
      <c r="C310" s="716" t="s">
        <v>733</v>
      </c>
      <c r="D310" s="717">
        <v>2070000</v>
      </c>
      <c r="E310" s="717">
        <v>1720000</v>
      </c>
      <c r="F310" s="717">
        <v>1614976</v>
      </c>
      <c r="G310" s="718">
        <f t="shared" si="15"/>
        <v>0.938939534883721</v>
      </c>
    </row>
    <row r="311" spans="1:7" s="694" customFormat="1" ht="43.5" customHeight="1">
      <c r="A311" s="733"/>
      <c r="B311" s="733"/>
      <c r="C311" s="725" t="s">
        <v>734</v>
      </c>
      <c r="D311" s="727">
        <v>275800</v>
      </c>
      <c r="E311" s="727">
        <v>226500</v>
      </c>
      <c r="F311" s="727">
        <v>214191</v>
      </c>
      <c r="G311" s="728">
        <f t="shared" si="15"/>
        <v>0.9456556291390729</v>
      </c>
    </row>
    <row r="312" spans="1:7" s="734" customFormat="1" ht="19.5" customHeight="1">
      <c r="A312" s="733"/>
      <c r="B312" s="733"/>
      <c r="C312" s="746" t="s">
        <v>735</v>
      </c>
      <c r="D312" s="747">
        <v>40000</v>
      </c>
      <c r="E312" s="747">
        <v>52100</v>
      </c>
      <c r="F312" s="747">
        <v>50348</v>
      </c>
      <c r="G312" s="748">
        <f t="shared" si="15"/>
        <v>0.9663723608445297</v>
      </c>
    </row>
    <row r="313" spans="1:7" s="734" customFormat="1" ht="19.5" customHeight="1">
      <c r="A313" s="733"/>
      <c r="B313" s="733"/>
      <c r="C313" s="746" t="s">
        <v>736</v>
      </c>
      <c r="D313" s="747">
        <v>10000</v>
      </c>
      <c r="E313" s="747"/>
      <c r="F313" s="747"/>
      <c r="G313" s="748"/>
    </row>
    <row r="314" spans="1:7" s="694" customFormat="1" ht="19.5" customHeight="1">
      <c r="A314" s="733"/>
      <c r="B314" s="733"/>
      <c r="C314" s="746" t="s">
        <v>737</v>
      </c>
      <c r="D314" s="747">
        <v>140000</v>
      </c>
      <c r="E314" s="747">
        <v>140000</v>
      </c>
      <c r="F314" s="747">
        <v>134880</v>
      </c>
      <c r="G314" s="748">
        <f aca="true" t="shared" si="16" ref="G314:G325">F314/E314</f>
        <v>0.9634285714285714</v>
      </c>
    </row>
    <row r="315" spans="1:7" s="694" customFormat="1" ht="19.5" customHeight="1">
      <c r="A315" s="733"/>
      <c r="B315" s="733"/>
      <c r="C315" s="746" t="s">
        <v>738</v>
      </c>
      <c r="D315" s="747">
        <v>200000</v>
      </c>
      <c r="E315" s="747">
        <v>100000</v>
      </c>
      <c r="F315" s="747">
        <v>98559</v>
      </c>
      <c r="G315" s="748">
        <f t="shared" si="16"/>
        <v>0.98559</v>
      </c>
    </row>
    <row r="316" spans="1:7" s="694" customFormat="1" ht="19.5" customHeight="1">
      <c r="A316" s="733"/>
      <c r="B316" s="733"/>
      <c r="C316" s="746" t="s">
        <v>739</v>
      </c>
      <c r="D316" s="747">
        <v>150000</v>
      </c>
      <c r="E316" s="747">
        <v>50000</v>
      </c>
      <c r="F316" s="747">
        <v>13039</v>
      </c>
      <c r="G316" s="748">
        <f t="shared" si="16"/>
        <v>0.26078</v>
      </c>
    </row>
    <row r="317" spans="1:7" s="694" customFormat="1" ht="19.5" customHeight="1">
      <c r="A317" s="733"/>
      <c r="B317" s="738"/>
      <c r="C317" s="738" t="s">
        <v>624</v>
      </c>
      <c r="D317" s="739">
        <f>2150000-232000</f>
        <v>1918000</v>
      </c>
      <c r="E317" s="739">
        <v>2508000</v>
      </c>
      <c r="F317" s="739">
        <v>2301352</v>
      </c>
      <c r="G317" s="740">
        <f t="shared" si="16"/>
        <v>0.9176044657097289</v>
      </c>
    </row>
    <row r="318" spans="1:7" s="714" customFormat="1" ht="19.5" customHeight="1">
      <c r="A318" s="709"/>
      <c r="B318" s="741">
        <v>90003</v>
      </c>
      <c r="C318" s="741" t="s">
        <v>414</v>
      </c>
      <c r="D318" s="742">
        <f>SUM(D319:D328)</f>
        <v>16431000</v>
      </c>
      <c r="E318" s="742">
        <f>SUM(E319:E328)</f>
        <v>15134050</v>
      </c>
      <c r="F318" s="742">
        <f>SUM(F319:F328)</f>
        <v>13668023</v>
      </c>
      <c r="G318" s="743">
        <f t="shared" si="16"/>
        <v>0.9031305565925842</v>
      </c>
    </row>
    <row r="319" spans="1:7" s="694" customFormat="1" ht="19.5" customHeight="1">
      <c r="A319" s="733"/>
      <c r="B319" s="733"/>
      <c r="C319" s="736" t="s">
        <v>740</v>
      </c>
      <c r="D319" s="726">
        <v>4900000</v>
      </c>
      <c r="E319" s="726">
        <v>4583962</v>
      </c>
      <c r="F319" s="726">
        <v>4300613</v>
      </c>
      <c r="G319" s="737">
        <f t="shared" si="16"/>
        <v>0.9381868785125183</v>
      </c>
    </row>
    <row r="320" spans="1:7" s="694" customFormat="1" ht="19.5" customHeight="1">
      <c r="A320" s="733"/>
      <c r="B320" s="733"/>
      <c r="C320" s="746" t="s">
        <v>741</v>
      </c>
      <c r="D320" s="747">
        <f>4174000-35000</f>
        <v>4139000</v>
      </c>
      <c r="E320" s="747">
        <v>4493100</v>
      </c>
      <c r="F320" s="747">
        <v>4118596</v>
      </c>
      <c r="G320" s="748">
        <f t="shared" si="16"/>
        <v>0.9166490841512541</v>
      </c>
    </row>
    <row r="321" spans="1:7" s="734" customFormat="1" ht="19.5" customHeight="1">
      <c r="A321" s="733"/>
      <c r="B321" s="733"/>
      <c r="C321" s="746" t="s">
        <v>742</v>
      </c>
      <c r="D321" s="747">
        <v>1740000</v>
      </c>
      <c r="E321" s="747">
        <v>1372000</v>
      </c>
      <c r="F321" s="747">
        <v>1102585</v>
      </c>
      <c r="G321" s="748">
        <f t="shared" si="16"/>
        <v>0.8036333819241982</v>
      </c>
    </row>
    <row r="322" spans="1:7" s="734" customFormat="1" ht="19.5" customHeight="1">
      <c r="A322" s="733"/>
      <c r="B322" s="733"/>
      <c r="C322" s="746" t="s">
        <v>743</v>
      </c>
      <c r="D322" s="747">
        <f>900000+100000</f>
        <v>1000000</v>
      </c>
      <c r="E322" s="747">
        <v>700000</v>
      </c>
      <c r="F322" s="747">
        <v>616727</v>
      </c>
      <c r="G322" s="748">
        <f t="shared" si="16"/>
        <v>0.8810385714285714</v>
      </c>
    </row>
    <row r="323" spans="1:7" s="694" customFormat="1" ht="19.5" customHeight="1">
      <c r="A323" s="733"/>
      <c r="B323" s="733"/>
      <c r="C323" s="746" t="s">
        <v>744</v>
      </c>
      <c r="D323" s="747">
        <v>200000</v>
      </c>
      <c r="E323" s="747">
        <v>179574</v>
      </c>
      <c r="F323" s="747">
        <v>160588</v>
      </c>
      <c r="G323" s="748">
        <f t="shared" si="16"/>
        <v>0.8942719992872019</v>
      </c>
    </row>
    <row r="324" spans="1:7" s="694" customFormat="1" ht="19.5" customHeight="1">
      <c r="A324" s="733"/>
      <c r="B324" s="733"/>
      <c r="C324" s="746" t="s">
        <v>745</v>
      </c>
      <c r="D324" s="747">
        <v>390000</v>
      </c>
      <c r="E324" s="747">
        <v>376938</v>
      </c>
      <c r="F324" s="747">
        <v>345717</v>
      </c>
      <c r="G324" s="748">
        <f t="shared" si="16"/>
        <v>0.9171720548206866</v>
      </c>
    </row>
    <row r="325" spans="1:7" s="694" customFormat="1" ht="19.5" customHeight="1">
      <c r="A325" s="733"/>
      <c r="B325" s="733"/>
      <c r="C325" s="746" t="s">
        <v>746</v>
      </c>
      <c r="D325" s="747">
        <v>46000</v>
      </c>
      <c r="E325" s="747">
        <v>15150</v>
      </c>
      <c r="F325" s="747">
        <v>15132</v>
      </c>
      <c r="G325" s="748">
        <f t="shared" si="16"/>
        <v>0.9988118811881188</v>
      </c>
    </row>
    <row r="326" spans="1:7" s="694" customFormat="1" ht="19.5" customHeight="1">
      <c r="A326" s="733"/>
      <c r="B326" s="733"/>
      <c r="C326" s="746" t="s">
        <v>738</v>
      </c>
      <c r="D326" s="747">
        <v>2860000</v>
      </c>
      <c r="E326" s="747">
        <v>2667326</v>
      </c>
      <c r="F326" s="747">
        <v>2667325</v>
      </c>
      <c r="G326" s="748">
        <v>0.9999</v>
      </c>
    </row>
    <row r="327" spans="1:7" s="694" customFormat="1" ht="19.5" customHeight="1">
      <c r="A327" s="733"/>
      <c r="B327" s="733"/>
      <c r="C327" s="746" t="s">
        <v>747</v>
      </c>
      <c r="D327" s="747"/>
      <c r="E327" s="747">
        <v>90000</v>
      </c>
      <c r="F327" s="747">
        <v>90000</v>
      </c>
      <c r="G327" s="748">
        <f aca="true" t="shared" si="17" ref="G327:G348">F327/E327</f>
        <v>1</v>
      </c>
    </row>
    <row r="328" spans="1:7" s="694" customFormat="1" ht="19.5" customHeight="1">
      <c r="A328" s="733"/>
      <c r="B328" s="738"/>
      <c r="C328" s="738" t="s">
        <v>624</v>
      </c>
      <c r="D328" s="739">
        <f>850000+306000</f>
        <v>1156000</v>
      </c>
      <c r="E328" s="739">
        <v>656000</v>
      </c>
      <c r="F328" s="739">
        <v>250740</v>
      </c>
      <c r="G328" s="740">
        <f t="shared" si="17"/>
        <v>0.38222560975609754</v>
      </c>
    </row>
    <row r="329" spans="1:7" s="714" customFormat="1" ht="19.5" customHeight="1">
      <c r="A329" s="709"/>
      <c r="B329" s="741">
        <v>90004</v>
      </c>
      <c r="C329" s="741" t="s">
        <v>748</v>
      </c>
      <c r="D329" s="742">
        <f>SUM(D330:D333)</f>
        <v>2700000</v>
      </c>
      <c r="E329" s="742">
        <f>SUM(E330:E333)</f>
        <v>2303228</v>
      </c>
      <c r="F329" s="742">
        <f>SUM(F330:F333)</f>
        <v>2134313</v>
      </c>
      <c r="G329" s="743">
        <f t="shared" si="17"/>
        <v>0.9266616244679207</v>
      </c>
    </row>
    <row r="330" spans="1:7" s="694" customFormat="1" ht="28.5" customHeight="1">
      <c r="A330" s="733"/>
      <c r="B330" s="733"/>
      <c r="C330" s="759" t="s">
        <v>749</v>
      </c>
      <c r="D330" s="726">
        <v>250000</v>
      </c>
      <c r="E330" s="726">
        <v>236600</v>
      </c>
      <c r="F330" s="726">
        <v>199000</v>
      </c>
      <c r="G330" s="737">
        <f t="shared" si="17"/>
        <v>0.8410819949281487</v>
      </c>
    </row>
    <row r="331" spans="1:7" s="694" customFormat="1" ht="19.5" customHeight="1">
      <c r="A331" s="733"/>
      <c r="B331" s="733"/>
      <c r="C331" s="746" t="s">
        <v>750</v>
      </c>
      <c r="D331" s="747">
        <v>2370000</v>
      </c>
      <c r="E331" s="747">
        <v>2036188</v>
      </c>
      <c r="F331" s="747">
        <v>1905965</v>
      </c>
      <c r="G331" s="748">
        <f t="shared" si="17"/>
        <v>0.9360456892978448</v>
      </c>
    </row>
    <row r="332" spans="1:7" s="694" customFormat="1" ht="19.5" customHeight="1">
      <c r="A332" s="733"/>
      <c r="B332" s="733"/>
      <c r="C332" s="779" t="s">
        <v>751</v>
      </c>
      <c r="D332" s="747">
        <v>30000</v>
      </c>
      <c r="E332" s="747">
        <v>12500</v>
      </c>
      <c r="F332" s="747">
        <v>12429</v>
      </c>
      <c r="G332" s="748">
        <f t="shared" si="17"/>
        <v>0.99432</v>
      </c>
    </row>
    <row r="333" spans="1:7" s="694" customFormat="1" ht="27" customHeight="1">
      <c r="A333" s="733"/>
      <c r="B333" s="738"/>
      <c r="C333" s="758" t="s">
        <v>752</v>
      </c>
      <c r="D333" s="739">
        <v>50000</v>
      </c>
      <c r="E333" s="739">
        <v>17940</v>
      </c>
      <c r="F333" s="739">
        <v>16919</v>
      </c>
      <c r="G333" s="740">
        <f t="shared" si="17"/>
        <v>0.9430880713489409</v>
      </c>
    </row>
    <row r="334" spans="1:7" s="714" customFormat="1" ht="19.5" customHeight="1">
      <c r="A334" s="709"/>
      <c r="B334" s="741">
        <v>90013</v>
      </c>
      <c r="C334" s="741" t="s">
        <v>417</v>
      </c>
      <c r="D334" s="742">
        <f>SUM(D335:D335)</f>
        <v>260000</v>
      </c>
      <c r="E334" s="742">
        <f>SUM(E335:E335)</f>
        <v>331072</v>
      </c>
      <c r="F334" s="742">
        <f>SUM(F335:F335)</f>
        <v>305281</v>
      </c>
      <c r="G334" s="743">
        <f t="shared" si="17"/>
        <v>0.9220985163348154</v>
      </c>
    </row>
    <row r="335" spans="1:7" s="694" customFormat="1" ht="19.5" customHeight="1">
      <c r="A335" s="738"/>
      <c r="B335" s="738"/>
      <c r="C335" s="738" t="s">
        <v>753</v>
      </c>
      <c r="D335" s="739">
        <v>260000</v>
      </c>
      <c r="E335" s="739">
        <v>331072</v>
      </c>
      <c r="F335" s="739">
        <v>305281</v>
      </c>
      <c r="G335" s="740">
        <f t="shared" si="17"/>
        <v>0.9220985163348154</v>
      </c>
    </row>
    <row r="336" spans="1:7" s="714" customFormat="1" ht="19.5" customHeight="1">
      <c r="A336" s="709"/>
      <c r="B336" s="741">
        <v>90015</v>
      </c>
      <c r="C336" s="741" t="s">
        <v>419</v>
      </c>
      <c r="D336" s="742">
        <f>SUM(D337:D340)</f>
        <v>3226000</v>
      </c>
      <c r="E336" s="742">
        <f>SUM(E337:E340)</f>
        <v>4939720</v>
      </c>
      <c r="F336" s="742">
        <f>SUM(F337:F340)</f>
        <v>4809950</v>
      </c>
      <c r="G336" s="743">
        <f t="shared" si="17"/>
        <v>0.9737292802021167</v>
      </c>
    </row>
    <row r="337" spans="1:7" s="694" customFormat="1" ht="19.5" customHeight="1">
      <c r="A337" s="733"/>
      <c r="B337" s="733"/>
      <c r="C337" s="736" t="s">
        <v>754</v>
      </c>
      <c r="D337" s="726">
        <v>1826000</v>
      </c>
      <c r="E337" s="726">
        <v>1840000</v>
      </c>
      <c r="F337" s="726">
        <v>1720109</v>
      </c>
      <c r="G337" s="737">
        <f t="shared" si="17"/>
        <v>0.9348418478260869</v>
      </c>
    </row>
    <row r="338" spans="1:7" s="694" customFormat="1" ht="19.5" customHeight="1">
      <c r="A338" s="733"/>
      <c r="B338" s="733"/>
      <c r="C338" s="779" t="s">
        <v>755</v>
      </c>
      <c r="D338" s="747">
        <v>1400000</v>
      </c>
      <c r="E338" s="747">
        <v>1679620</v>
      </c>
      <c r="F338" s="747">
        <v>1669968</v>
      </c>
      <c r="G338" s="748">
        <f t="shared" si="17"/>
        <v>0.9942534620926162</v>
      </c>
    </row>
    <row r="339" spans="1:7" s="694" customFormat="1" ht="19.5" customHeight="1">
      <c r="A339" s="733"/>
      <c r="B339" s="733"/>
      <c r="C339" s="746" t="s">
        <v>756</v>
      </c>
      <c r="D339" s="747"/>
      <c r="E339" s="747">
        <v>1414450</v>
      </c>
      <c r="F339" s="747">
        <v>1414250</v>
      </c>
      <c r="G339" s="748">
        <f t="shared" si="17"/>
        <v>0.9998586022835732</v>
      </c>
    </row>
    <row r="340" spans="1:7" s="694" customFormat="1" ht="19.5" customHeight="1">
      <c r="A340" s="733"/>
      <c r="B340" s="738"/>
      <c r="C340" s="738" t="s">
        <v>624</v>
      </c>
      <c r="D340" s="739"/>
      <c r="E340" s="739">
        <v>5650</v>
      </c>
      <c r="F340" s="739">
        <v>5623</v>
      </c>
      <c r="G340" s="740">
        <f t="shared" si="17"/>
        <v>0.9952212389380531</v>
      </c>
    </row>
    <row r="341" spans="1:7" s="714" customFormat="1" ht="19.5" customHeight="1">
      <c r="A341" s="709"/>
      <c r="B341" s="741">
        <v>90095</v>
      </c>
      <c r="C341" s="741" t="s">
        <v>314</v>
      </c>
      <c r="D341" s="742">
        <f>SUM(D342:D344)</f>
        <v>4113360</v>
      </c>
      <c r="E341" s="742">
        <f>SUM(E342:E344)</f>
        <v>6753490</v>
      </c>
      <c r="F341" s="742">
        <f>SUM(F342:F344)</f>
        <v>5859894</v>
      </c>
      <c r="G341" s="743">
        <f t="shared" si="17"/>
        <v>0.867683819773184</v>
      </c>
    </row>
    <row r="342" spans="1:7" s="694" customFormat="1" ht="19.5" customHeight="1">
      <c r="A342" s="733"/>
      <c r="B342" s="733"/>
      <c r="C342" s="746" t="s">
        <v>757</v>
      </c>
      <c r="D342" s="747">
        <v>26360</v>
      </c>
      <c r="E342" s="747">
        <v>28190</v>
      </c>
      <c r="F342" s="747">
        <v>28182</v>
      </c>
      <c r="G342" s="748">
        <f t="shared" si="17"/>
        <v>0.9997162114224902</v>
      </c>
    </row>
    <row r="343" spans="1:7" s="694" customFormat="1" ht="19.5" customHeight="1">
      <c r="A343" s="733"/>
      <c r="B343" s="733"/>
      <c r="C343" s="746" t="s">
        <v>758</v>
      </c>
      <c r="D343" s="747">
        <v>70000</v>
      </c>
      <c r="E343" s="747">
        <v>14300</v>
      </c>
      <c r="F343" s="747">
        <v>11419</v>
      </c>
      <c r="G343" s="748">
        <f t="shared" si="17"/>
        <v>0.7985314685314685</v>
      </c>
    </row>
    <row r="344" spans="1:7" s="694" customFormat="1" ht="19.5" customHeight="1">
      <c r="A344" s="738"/>
      <c r="B344" s="738"/>
      <c r="C344" s="738" t="s">
        <v>624</v>
      </c>
      <c r="D344" s="739">
        <v>4017000</v>
      </c>
      <c r="E344" s="739">
        <v>6711000</v>
      </c>
      <c r="F344" s="739">
        <v>5820293</v>
      </c>
      <c r="G344" s="740">
        <f t="shared" si="17"/>
        <v>0.8672765608702131</v>
      </c>
    </row>
    <row r="345" spans="1:7" s="694" customFormat="1" ht="19.5" customHeight="1">
      <c r="A345" s="706">
        <v>921</v>
      </c>
      <c r="B345" s="706"/>
      <c r="C345" s="706" t="s">
        <v>573</v>
      </c>
      <c r="D345" s="707">
        <f>D346+D352+D354+D358+D360+D365+D363</f>
        <v>13499600</v>
      </c>
      <c r="E345" s="707">
        <f>E346+E352+E354+E358+E360+E365+E363</f>
        <v>13618600</v>
      </c>
      <c r="F345" s="707">
        <f>F346+F352+F354+F358+F360+F365+F363</f>
        <v>13130727</v>
      </c>
      <c r="G345" s="708">
        <f t="shared" si="17"/>
        <v>0.9641759799098292</v>
      </c>
    </row>
    <row r="346" spans="1:7" s="800" customFormat="1" ht="19.5" customHeight="1">
      <c r="A346" s="796"/>
      <c r="B346" s="797">
        <v>92105</v>
      </c>
      <c r="C346" s="797" t="s">
        <v>759</v>
      </c>
      <c r="D346" s="798">
        <f>SUM(D347:D351)</f>
        <v>1937600</v>
      </c>
      <c r="E346" s="798">
        <f>SUM(E347:E351)</f>
        <v>2231600</v>
      </c>
      <c r="F346" s="798">
        <f>SUM(F347:F351)</f>
        <v>2199042</v>
      </c>
      <c r="G346" s="799">
        <f t="shared" si="17"/>
        <v>0.9854104678257752</v>
      </c>
    </row>
    <row r="347" spans="1:7" s="805" customFormat="1" ht="19.5" customHeight="1">
      <c r="A347" s="796"/>
      <c r="B347" s="801"/>
      <c r="C347" s="802" t="s">
        <v>760</v>
      </c>
      <c r="D347" s="803">
        <v>753600</v>
      </c>
      <c r="E347" s="803">
        <v>766600</v>
      </c>
      <c r="F347" s="803">
        <v>734119</v>
      </c>
      <c r="G347" s="804">
        <f t="shared" si="17"/>
        <v>0.9576297938951213</v>
      </c>
    </row>
    <row r="348" spans="1:7" s="805" customFormat="1" ht="19.5" customHeight="1">
      <c r="A348" s="806"/>
      <c r="B348" s="806"/>
      <c r="C348" s="807" t="s">
        <v>761</v>
      </c>
      <c r="D348" s="808">
        <v>28000</v>
      </c>
      <c r="E348" s="808">
        <v>30000</v>
      </c>
      <c r="F348" s="808">
        <v>29940</v>
      </c>
      <c r="G348" s="809">
        <f t="shared" si="17"/>
        <v>0.998</v>
      </c>
    </row>
    <row r="349" spans="1:7" s="805" customFormat="1" ht="19.5" customHeight="1">
      <c r="A349" s="806"/>
      <c r="B349" s="806"/>
      <c r="C349" s="810" t="s">
        <v>762</v>
      </c>
      <c r="D349" s="811">
        <v>15000</v>
      </c>
      <c r="E349" s="811"/>
      <c r="F349" s="811"/>
      <c r="G349" s="812"/>
    </row>
    <row r="350" spans="1:7" s="805" customFormat="1" ht="19.5" customHeight="1">
      <c r="A350" s="806"/>
      <c r="B350" s="806"/>
      <c r="C350" s="806" t="s">
        <v>763</v>
      </c>
      <c r="D350" s="813">
        <v>15000</v>
      </c>
      <c r="E350" s="813">
        <v>15000</v>
      </c>
      <c r="F350" s="813">
        <v>15000</v>
      </c>
      <c r="G350" s="814">
        <f>F350/E350</f>
        <v>1</v>
      </c>
    </row>
    <row r="351" spans="1:7" s="805" customFormat="1" ht="19.5" customHeight="1">
      <c r="A351" s="806"/>
      <c r="B351" s="815"/>
      <c r="C351" s="816" t="s">
        <v>624</v>
      </c>
      <c r="D351" s="817">
        <v>1126000</v>
      </c>
      <c r="E351" s="817">
        <v>1420000</v>
      </c>
      <c r="F351" s="817">
        <v>1419983</v>
      </c>
      <c r="G351" s="818">
        <v>0.9999</v>
      </c>
    </row>
    <row r="352" spans="1:7" s="714" customFormat="1" ht="19.5" customHeight="1">
      <c r="A352" s="709"/>
      <c r="B352" s="741">
        <v>92106</v>
      </c>
      <c r="C352" s="741" t="s">
        <v>575</v>
      </c>
      <c r="D352" s="742">
        <f>D353</f>
        <v>1680000</v>
      </c>
      <c r="E352" s="742">
        <f>E353</f>
        <v>1700000</v>
      </c>
      <c r="F352" s="742">
        <f>F353</f>
        <v>1646400</v>
      </c>
      <c r="G352" s="743">
        <f aca="true" t="shared" si="18" ref="G352:G361">F352/E352</f>
        <v>0.9684705882352941</v>
      </c>
    </row>
    <row r="353" spans="1:7" s="694" customFormat="1" ht="19.5" customHeight="1">
      <c r="A353" s="733"/>
      <c r="B353" s="744"/>
      <c r="C353" s="744" t="s">
        <v>764</v>
      </c>
      <c r="D353" s="717">
        <f>1600000+80000</f>
        <v>1680000</v>
      </c>
      <c r="E353" s="717">
        <v>1700000</v>
      </c>
      <c r="F353" s="717">
        <v>1646400</v>
      </c>
      <c r="G353" s="718">
        <f t="shared" si="18"/>
        <v>0.9684705882352941</v>
      </c>
    </row>
    <row r="354" spans="1:7" s="694" customFormat="1" ht="19.5" customHeight="1">
      <c r="A354" s="733"/>
      <c r="B354" s="741">
        <v>92109</v>
      </c>
      <c r="C354" s="741" t="s">
        <v>765</v>
      </c>
      <c r="D354" s="742">
        <f>SUM(D355:D357)</f>
        <v>1720000</v>
      </c>
      <c r="E354" s="742">
        <f>SUM(E355:E357)</f>
        <v>1720000</v>
      </c>
      <c r="F354" s="742">
        <f>SUM(F355:F357)</f>
        <v>1646400</v>
      </c>
      <c r="G354" s="743">
        <f t="shared" si="18"/>
        <v>0.9572093023255814</v>
      </c>
    </row>
    <row r="355" spans="1:7" s="694" customFormat="1" ht="19.5" customHeight="1">
      <c r="A355" s="733"/>
      <c r="B355" s="733"/>
      <c r="C355" s="759" t="s">
        <v>766</v>
      </c>
      <c r="D355" s="726">
        <f>450000-10000+40000</f>
        <v>480000</v>
      </c>
      <c r="E355" s="726">
        <v>480000</v>
      </c>
      <c r="F355" s="726">
        <v>471200</v>
      </c>
      <c r="G355" s="737">
        <f t="shared" si="18"/>
        <v>0.9816666666666667</v>
      </c>
    </row>
    <row r="356" spans="1:7" s="805" customFormat="1" ht="19.5" customHeight="1">
      <c r="A356" s="806"/>
      <c r="B356" s="806"/>
      <c r="C356" s="819" t="s">
        <v>767</v>
      </c>
      <c r="D356" s="808">
        <f>800000+70000</f>
        <v>870000</v>
      </c>
      <c r="E356" s="808">
        <v>870000</v>
      </c>
      <c r="F356" s="808">
        <v>822600</v>
      </c>
      <c r="G356" s="809">
        <f t="shared" si="18"/>
        <v>0.9455172413793104</v>
      </c>
    </row>
    <row r="357" spans="1:7" s="805" customFormat="1" ht="19.5" customHeight="1">
      <c r="A357" s="806"/>
      <c r="B357" s="815"/>
      <c r="C357" s="816" t="s">
        <v>768</v>
      </c>
      <c r="D357" s="817">
        <f>340000+30000</f>
        <v>370000</v>
      </c>
      <c r="E357" s="817">
        <v>370000</v>
      </c>
      <c r="F357" s="817">
        <v>352600</v>
      </c>
      <c r="G357" s="818">
        <f t="shared" si="18"/>
        <v>0.952972972972973</v>
      </c>
    </row>
    <row r="358" spans="1:7" s="714" customFormat="1" ht="19.5" customHeight="1">
      <c r="A358" s="709"/>
      <c r="B358" s="741">
        <v>92110</v>
      </c>
      <c r="C358" s="741" t="s">
        <v>769</v>
      </c>
      <c r="D358" s="742">
        <f>D359</f>
        <v>740000</v>
      </c>
      <c r="E358" s="742">
        <f>E359</f>
        <v>740000</v>
      </c>
      <c r="F358" s="742">
        <f>F359</f>
        <v>705000</v>
      </c>
      <c r="G358" s="743">
        <f t="shared" si="18"/>
        <v>0.9527027027027027</v>
      </c>
    </row>
    <row r="359" spans="1:7" s="694" customFormat="1" ht="21.75" customHeight="1">
      <c r="A359" s="733"/>
      <c r="B359" s="744"/>
      <c r="C359" s="744" t="s">
        <v>770</v>
      </c>
      <c r="D359" s="717">
        <f>710000+30000</f>
        <v>740000</v>
      </c>
      <c r="E359" s="717">
        <v>740000</v>
      </c>
      <c r="F359" s="717">
        <v>705000</v>
      </c>
      <c r="G359" s="718">
        <f t="shared" si="18"/>
        <v>0.9527027027027027</v>
      </c>
    </row>
    <row r="360" spans="1:7" s="714" customFormat="1" ht="19.5" customHeight="1">
      <c r="A360" s="709"/>
      <c r="B360" s="741">
        <v>92113</v>
      </c>
      <c r="C360" s="741" t="s">
        <v>771</v>
      </c>
      <c r="D360" s="742">
        <f>D361</f>
        <v>1450000</v>
      </c>
      <c r="E360" s="742">
        <f>E361</f>
        <v>1450000</v>
      </c>
      <c r="F360" s="742">
        <f>F361</f>
        <v>1400000</v>
      </c>
      <c r="G360" s="743">
        <f t="shared" si="18"/>
        <v>0.9655172413793104</v>
      </c>
    </row>
    <row r="361" spans="1:7" s="694" customFormat="1" ht="21" customHeight="1">
      <c r="A361" s="733"/>
      <c r="B361" s="735"/>
      <c r="C361" s="735" t="s">
        <v>772</v>
      </c>
      <c r="D361" s="764">
        <f>1270000+80000+100000</f>
        <v>1450000</v>
      </c>
      <c r="E361" s="764">
        <v>1450000</v>
      </c>
      <c r="F361" s="764">
        <v>1400000</v>
      </c>
      <c r="G361" s="765">
        <f t="shared" si="18"/>
        <v>0.9655172413793104</v>
      </c>
    </row>
    <row r="362" spans="1:7" s="694" customFormat="1" ht="21" customHeight="1">
      <c r="A362" s="774"/>
      <c r="B362" s="774"/>
      <c r="C362" s="774"/>
      <c r="D362" s="776"/>
      <c r="E362" s="776"/>
      <c r="F362" s="776"/>
      <c r="G362" s="777"/>
    </row>
    <row r="363" spans="1:7" s="714" customFormat="1" ht="19.5" customHeight="1">
      <c r="A363" s="709"/>
      <c r="B363" s="741">
        <v>92116</v>
      </c>
      <c r="C363" s="741" t="s">
        <v>773</v>
      </c>
      <c r="D363" s="742">
        <f>SUM(D364:D364)</f>
        <v>4180000</v>
      </c>
      <c r="E363" s="742">
        <f>SUM(E364:E364)</f>
        <v>4180000</v>
      </c>
      <c r="F363" s="742">
        <f>SUM(F364:F364)</f>
        <v>4000000</v>
      </c>
      <c r="G363" s="743">
        <f aca="true" t="shared" si="19" ref="G363:G387">F363/E363</f>
        <v>0.9569377990430622</v>
      </c>
    </row>
    <row r="364" spans="1:7" s="694" customFormat="1" ht="19.5" customHeight="1">
      <c r="A364" s="733"/>
      <c r="B364" s="744"/>
      <c r="C364" s="716" t="s">
        <v>774</v>
      </c>
      <c r="D364" s="717">
        <f>4100000+80000</f>
        <v>4180000</v>
      </c>
      <c r="E364" s="717">
        <v>4180000</v>
      </c>
      <c r="F364" s="717">
        <v>4000000</v>
      </c>
      <c r="G364" s="718">
        <f t="shared" si="19"/>
        <v>0.9569377990430622</v>
      </c>
    </row>
    <row r="365" spans="1:7" s="694" customFormat="1" ht="19.5" customHeight="1">
      <c r="A365" s="733"/>
      <c r="B365" s="741">
        <v>92120</v>
      </c>
      <c r="C365" s="741" t="s">
        <v>775</v>
      </c>
      <c r="D365" s="742">
        <f>D366+D367</f>
        <v>1792000</v>
      </c>
      <c r="E365" s="742">
        <f>E366+E367</f>
        <v>1597000</v>
      </c>
      <c r="F365" s="742">
        <f>F366+F367</f>
        <v>1533885</v>
      </c>
      <c r="G365" s="743">
        <f t="shared" si="19"/>
        <v>0.9604790231684408</v>
      </c>
    </row>
    <row r="366" spans="1:7" s="694" customFormat="1" ht="25.5" customHeight="1">
      <c r="A366" s="733"/>
      <c r="B366" s="733"/>
      <c r="C366" s="759" t="s">
        <v>776</v>
      </c>
      <c r="D366" s="726">
        <v>150000</v>
      </c>
      <c r="E366" s="726">
        <v>150000</v>
      </c>
      <c r="F366" s="726">
        <v>148987</v>
      </c>
      <c r="G366" s="737">
        <f t="shared" si="19"/>
        <v>0.9932466666666667</v>
      </c>
    </row>
    <row r="367" spans="1:7" s="805" customFormat="1" ht="20.25" customHeight="1">
      <c r="A367" s="806"/>
      <c r="B367" s="806"/>
      <c r="C367" s="819" t="s">
        <v>777</v>
      </c>
      <c r="D367" s="808">
        <f>D368+D369</f>
        <v>1642000</v>
      </c>
      <c r="E367" s="808">
        <f>SUM(E368:E369)</f>
        <v>1447000</v>
      </c>
      <c r="F367" s="808">
        <f>SUM(F368:F369)</f>
        <v>1384898</v>
      </c>
      <c r="G367" s="809">
        <f t="shared" si="19"/>
        <v>0.9570822391154112</v>
      </c>
    </row>
    <row r="368" spans="1:7" s="694" customFormat="1" ht="18" customHeight="1">
      <c r="A368" s="733"/>
      <c r="B368" s="733"/>
      <c r="C368" s="820" t="s">
        <v>778</v>
      </c>
      <c r="D368" s="821">
        <f>110000+750000</f>
        <v>860000</v>
      </c>
      <c r="E368" s="821">
        <v>610000</v>
      </c>
      <c r="F368" s="821">
        <v>610000</v>
      </c>
      <c r="G368" s="822">
        <f t="shared" si="19"/>
        <v>1</v>
      </c>
    </row>
    <row r="369" spans="1:7" s="694" customFormat="1" ht="18" customHeight="1">
      <c r="A369" s="738"/>
      <c r="B369" s="823"/>
      <c r="C369" s="824" t="s">
        <v>624</v>
      </c>
      <c r="D369" s="825">
        <f>3174000-2392000</f>
        <v>782000</v>
      </c>
      <c r="E369" s="825">
        <v>837000</v>
      </c>
      <c r="F369" s="825">
        <v>774898</v>
      </c>
      <c r="G369" s="826">
        <f t="shared" si="19"/>
        <v>0.9258040621266428</v>
      </c>
    </row>
    <row r="370" spans="1:7" s="694" customFormat="1" ht="19.5" customHeight="1">
      <c r="A370" s="706">
        <v>926</v>
      </c>
      <c r="B370" s="706"/>
      <c r="C370" s="706" t="s">
        <v>446</v>
      </c>
      <c r="D370" s="707">
        <f>D371+D374+D376</f>
        <v>9485000</v>
      </c>
      <c r="E370" s="707">
        <f>E371+E374+E376</f>
        <v>9478000</v>
      </c>
      <c r="F370" s="707">
        <f>F371+F374+F376</f>
        <v>9355556</v>
      </c>
      <c r="G370" s="708">
        <f t="shared" si="19"/>
        <v>0.9870812407680946</v>
      </c>
    </row>
    <row r="371" spans="1:7" s="714" customFormat="1" ht="19.5" customHeight="1">
      <c r="A371" s="709"/>
      <c r="B371" s="711">
        <v>92601</v>
      </c>
      <c r="C371" s="711" t="s">
        <v>447</v>
      </c>
      <c r="D371" s="712">
        <f>SUM(D372:D373)</f>
        <v>395000</v>
      </c>
      <c r="E371" s="712">
        <f>SUM(E372:E373)</f>
        <v>349060</v>
      </c>
      <c r="F371" s="712">
        <f>SUM(F372:F373)</f>
        <v>349060</v>
      </c>
      <c r="G371" s="713">
        <f t="shared" si="19"/>
        <v>1</v>
      </c>
    </row>
    <row r="372" spans="1:7" s="694" customFormat="1" ht="19.5" customHeight="1">
      <c r="A372" s="733"/>
      <c r="B372" s="735"/>
      <c r="C372" s="736" t="s">
        <v>779</v>
      </c>
      <c r="D372" s="726">
        <v>245000</v>
      </c>
      <c r="E372" s="726">
        <v>206000</v>
      </c>
      <c r="F372" s="726">
        <v>206000</v>
      </c>
      <c r="G372" s="737">
        <f t="shared" si="19"/>
        <v>1</v>
      </c>
    </row>
    <row r="373" spans="1:7" s="694" customFormat="1" ht="19.5" customHeight="1">
      <c r="A373" s="733"/>
      <c r="B373" s="738"/>
      <c r="C373" s="738" t="s">
        <v>624</v>
      </c>
      <c r="D373" s="739">
        <v>150000</v>
      </c>
      <c r="E373" s="739">
        <v>143060</v>
      </c>
      <c r="F373" s="739">
        <v>143060</v>
      </c>
      <c r="G373" s="740">
        <f t="shared" si="19"/>
        <v>1</v>
      </c>
    </row>
    <row r="374" spans="1:7" s="714" customFormat="1" ht="21" customHeight="1">
      <c r="A374" s="709"/>
      <c r="B374" s="741">
        <v>92604</v>
      </c>
      <c r="C374" s="741" t="s">
        <v>780</v>
      </c>
      <c r="D374" s="742">
        <f>SUM(D375:D375)</f>
        <v>7640000</v>
      </c>
      <c r="E374" s="742">
        <f>SUM(E375:E375)</f>
        <v>7640000</v>
      </c>
      <c r="F374" s="742">
        <f>SUM(F375:F375)</f>
        <v>7547004</v>
      </c>
      <c r="G374" s="743">
        <f t="shared" si="19"/>
        <v>0.9878277486910995</v>
      </c>
    </row>
    <row r="375" spans="1:7" s="694" customFormat="1" ht="21" customHeight="1">
      <c r="A375" s="733"/>
      <c r="B375" s="744"/>
      <c r="C375" s="744" t="s">
        <v>781</v>
      </c>
      <c r="D375" s="717">
        <f>7840000-200000</f>
        <v>7640000</v>
      </c>
      <c r="E375" s="717">
        <v>7640000</v>
      </c>
      <c r="F375" s="717">
        <v>7547004</v>
      </c>
      <c r="G375" s="718">
        <f t="shared" si="19"/>
        <v>0.9878277486910995</v>
      </c>
    </row>
    <row r="376" spans="1:7" s="714" customFormat="1" ht="19.5" customHeight="1">
      <c r="A376" s="709"/>
      <c r="B376" s="741">
        <v>92605</v>
      </c>
      <c r="C376" s="741" t="s">
        <v>782</v>
      </c>
      <c r="D376" s="742">
        <f>SUM(D377:D380)</f>
        <v>1450000</v>
      </c>
      <c r="E376" s="742">
        <f>SUM(E377:E380)</f>
        <v>1488940</v>
      </c>
      <c r="F376" s="742">
        <f>SUM(F377:F380)</f>
        <v>1459492</v>
      </c>
      <c r="G376" s="743">
        <f t="shared" si="19"/>
        <v>0.9802221714776955</v>
      </c>
    </row>
    <row r="377" spans="1:7" s="694" customFormat="1" ht="19.5" customHeight="1">
      <c r="A377" s="733"/>
      <c r="B377" s="733"/>
      <c r="C377" s="736" t="s">
        <v>783</v>
      </c>
      <c r="D377" s="726">
        <f>500000+185000</f>
        <v>685000</v>
      </c>
      <c r="E377" s="726">
        <v>731500</v>
      </c>
      <c r="F377" s="726">
        <v>714306</v>
      </c>
      <c r="G377" s="737">
        <f t="shared" si="19"/>
        <v>0.9764948735475051</v>
      </c>
    </row>
    <row r="378" spans="1:7" s="694" customFormat="1" ht="19.5" customHeight="1">
      <c r="A378" s="733"/>
      <c r="B378" s="733"/>
      <c r="C378" s="746" t="s">
        <v>784</v>
      </c>
      <c r="D378" s="747">
        <f>500000+100000</f>
        <v>600000</v>
      </c>
      <c r="E378" s="747">
        <v>600000</v>
      </c>
      <c r="F378" s="747">
        <v>598246</v>
      </c>
      <c r="G378" s="748">
        <f t="shared" si="19"/>
        <v>0.9970766666666666</v>
      </c>
    </row>
    <row r="379" spans="1:7" s="694" customFormat="1" ht="31.5" customHeight="1">
      <c r="A379" s="733"/>
      <c r="B379" s="733"/>
      <c r="C379" s="779" t="s">
        <v>785</v>
      </c>
      <c r="D379" s="747">
        <f>30000+15000</f>
        <v>45000</v>
      </c>
      <c r="E379" s="747">
        <v>37500</v>
      </c>
      <c r="F379" s="747">
        <v>27000</v>
      </c>
      <c r="G379" s="748">
        <f t="shared" si="19"/>
        <v>0.72</v>
      </c>
    </row>
    <row r="380" spans="1:7" s="694" customFormat="1" ht="19.5" customHeight="1">
      <c r="A380" s="733"/>
      <c r="B380" s="733"/>
      <c r="C380" s="778" t="s">
        <v>624</v>
      </c>
      <c r="D380" s="761">
        <v>120000</v>
      </c>
      <c r="E380" s="761">
        <v>119940</v>
      </c>
      <c r="F380" s="761">
        <v>119940</v>
      </c>
      <c r="G380" s="762">
        <f t="shared" si="19"/>
        <v>1</v>
      </c>
    </row>
    <row r="381" spans="1:7" ht="36" customHeight="1" thickBot="1">
      <c r="A381" s="738"/>
      <c r="B381" s="738"/>
      <c r="C381" s="827" t="s">
        <v>786</v>
      </c>
      <c r="D381" s="828">
        <f>+D397+D389+D394</f>
        <v>2653981</v>
      </c>
      <c r="E381" s="828">
        <f>+E397+E389+E394+E382+E385</f>
        <v>2984432</v>
      </c>
      <c r="F381" s="828">
        <f>F397+F389+F394+F382+F385</f>
        <v>2984432</v>
      </c>
      <c r="G381" s="829">
        <f t="shared" si="19"/>
        <v>1</v>
      </c>
    </row>
    <row r="382" spans="1:7" s="694" customFormat="1" ht="19.5" customHeight="1" thickTop="1">
      <c r="A382" s="706">
        <v>710</v>
      </c>
      <c r="B382" s="706"/>
      <c r="C382" s="770" t="s">
        <v>332</v>
      </c>
      <c r="D382" s="830"/>
      <c r="E382" s="830">
        <f>E383</f>
        <v>38500</v>
      </c>
      <c r="F382" s="830">
        <f>F383</f>
        <v>38500</v>
      </c>
      <c r="G382" s="831">
        <f t="shared" si="19"/>
        <v>1</v>
      </c>
    </row>
    <row r="383" spans="1:7" s="714" customFormat="1" ht="19.5" customHeight="1">
      <c r="A383" s="709"/>
      <c r="B383" s="741">
        <v>71035</v>
      </c>
      <c r="C383" s="741" t="s">
        <v>333</v>
      </c>
      <c r="D383" s="742"/>
      <c r="E383" s="742">
        <f>E384</f>
        <v>38500</v>
      </c>
      <c r="F383" s="742">
        <f>F384</f>
        <v>38500</v>
      </c>
      <c r="G383" s="743">
        <f t="shared" si="19"/>
        <v>1</v>
      </c>
    </row>
    <row r="384" spans="1:7" s="694" customFormat="1" ht="19.5" customHeight="1">
      <c r="A384" s="733"/>
      <c r="B384" s="733"/>
      <c r="C384" s="832" t="s">
        <v>787</v>
      </c>
      <c r="D384" s="764"/>
      <c r="E384" s="764">
        <v>38500</v>
      </c>
      <c r="F384" s="764">
        <v>38500</v>
      </c>
      <c r="G384" s="718">
        <f t="shared" si="19"/>
        <v>1</v>
      </c>
    </row>
    <row r="385" spans="1:7" s="694" customFormat="1" ht="19.5" customHeight="1">
      <c r="A385" s="705">
        <v>754</v>
      </c>
      <c r="B385" s="705"/>
      <c r="C385" s="730" t="s">
        <v>344</v>
      </c>
      <c r="D385" s="833"/>
      <c r="E385" s="833">
        <f>E386</f>
        <v>26000</v>
      </c>
      <c r="F385" s="833">
        <f>F386</f>
        <v>26000</v>
      </c>
      <c r="G385" s="831">
        <f t="shared" si="19"/>
        <v>1</v>
      </c>
    </row>
    <row r="386" spans="1:7" s="714" customFormat="1" ht="19.5" customHeight="1">
      <c r="A386" s="709"/>
      <c r="B386" s="741">
        <v>75411</v>
      </c>
      <c r="C386" s="741" t="s">
        <v>564</v>
      </c>
      <c r="D386" s="742"/>
      <c r="E386" s="742">
        <f>E387</f>
        <v>26000</v>
      </c>
      <c r="F386" s="742">
        <f>F387</f>
        <v>26000</v>
      </c>
      <c r="G386" s="743">
        <f t="shared" si="19"/>
        <v>1</v>
      </c>
    </row>
    <row r="387" spans="1:7" s="694" customFormat="1" ht="19.5" customHeight="1">
      <c r="A387" s="733"/>
      <c r="B387" s="733"/>
      <c r="C387" s="735" t="s">
        <v>624</v>
      </c>
      <c r="D387" s="764"/>
      <c r="E387" s="764">
        <v>26000</v>
      </c>
      <c r="F387" s="764">
        <v>26000</v>
      </c>
      <c r="G387" s="718">
        <f t="shared" si="19"/>
        <v>1</v>
      </c>
    </row>
    <row r="388" spans="1:7" s="694" customFormat="1" ht="19.5" customHeight="1">
      <c r="A388" s="774"/>
      <c r="B388" s="774"/>
      <c r="C388" s="774"/>
      <c r="D388" s="776"/>
      <c r="E388" s="776"/>
      <c r="F388" s="776"/>
      <c r="G388" s="777"/>
    </row>
    <row r="389" spans="1:7" s="694" customFormat="1" ht="19.5" customHeight="1">
      <c r="A389" s="706">
        <v>801</v>
      </c>
      <c r="B389" s="706"/>
      <c r="C389" s="770" t="s">
        <v>386</v>
      </c>
      <c r="D389" s="830">
        <f>D390</f>
        <v>2492981</v>
      </c>
      <c r="E389" s="830">
        <f>E390</f>
        <v>2893932</v>
      </c>
      <c r="F389" s="830">
        <f>F390</f>
        <v>2893932</v>
      </c>
      <c r="G389" s="834">
        <f>F389/E389</f>
        <v>1</v>
      </c>
    </row>
    <row r="390" spans="1:7" s="714" customFormat="1" ht="19.5" customHeight="1">
      <c r="A390" s="709"/>
      <c r="B390" s="741">
        <v>80132</v>
      </c>
      <c r="C390" s="741" t="s">
        <v>515</v>
      </c>
      <c r="D390" s="742">
        <f>SUM(D391:D393)</f>
        <v>2492981</v>
      </c>
      <c r="E390" s="742">
        <f>SUM(E391:E393)</f>
        <v>2893932</v>
      </c>
      <c r="F390" s="742">
        <f>SUM(F391:F393)</f>
        <v>2893932</v>
      </c>
      <c r="G390" s="743">
        <f>F390/E390</f>
        <v>1</v>
      </c>
    </row>
    <row r="391" spans="1:7" s="694" customFormat="1" ht="19.5" customHeight="1">
      <c r="A391" s="733"/>
      <c r="B391" s="733"/>
      <c r="C391" s="736" t="s">
        <v>650</v>
      </c>
      <c r="D391" s="726">
        <f>1992998-43017</f>
        <v>1949981</v>
      </c>
      <c r="E391" s="726">
        <v>2310824</v>
      </c>
      <c r="F391" s="726">
        <v>2310824</v>
      </c>
      <c r="G391" s="737">
        <f>F391/E391</f>
        <v>1</v>
      </c>
    </row>
    <row r="392" spans="1:7" s="694" customFormat="1" ht="19.5" customHeight="1">
      <c r="A392" s="733"/>
      <c r="B392" s="733"/>
      <c r="C392" s="746" t="s">
        <v>651</v>
      </c>
      <c r="D392" s="747">
        <f>170000-4000</f>
        <v>166000</v>
      </c>
      <c r="E392" s="747">
        <v>135016</v>
      </c>
      <c r="F392" s="747">
        <v>135016</v>
      </c>
      <c r="G392" s="748">
        <f>F392/E392</f>
        <v>1</v>
      </c>
    </row>
    <row r="393" spans="1:7" s="694" customFormat="1" ht="19.5" customHeight="1">
      <c r="A393" s="738"/>
      <c r="B393" s="738"/>
      <c r="C393" s="738" t="s">
        <v>652</v>
      </c>
      <c r="D393" s="739">
        <f>385000-8000</f>
        <v>377000</v>
      </c>
      <c r="E393" s="739">
        <v>448092</v>
      </c>
      <c r="F393" s="739">
        <v>448092</v>
      </c>
      <c r="G393" s="740">
        <f>F393/E393</f>
        <v>1</v>
      </c>
    </row>
    <row r="394" spans="1:7" s="694" customFormat="1" ht="19.5" customHeight="1">
      <c r="A394" s="706">
        <v>900</v>
      </c>
      <c r="B394" s="706"/>
      <c r="C394" s="706" t="s">
        <v>731</v>
      </c>
      <c r="D394" s="707">
        <f>D395</f>
        <v>135000</v>
      </c>
      <c r="E394" s="707"/>
      <c r="F394" s="707"/>
      <c r="G394" s="708"/>
    </row>
    <row r="395" spans="1:7" s="714" customFormat="1" ht="19.5" customHeight="1">
      <c r="A395" s="709"/>
      <c r="B395" s="741">
        <v>90003</v>
      </c>
      <c r="C395" s="741" t="s">
        <v>414</v>
      </c>
      <c r="D395" s="742">
        <f>D396</f>
        <v>135000</v>
      </c>
      <c r="E395" s="742"/>
      <c r="F395" s="742"/>
      <c r="G395" s="743"/>
    </row>
    <row r="396" spans="1:7" s="694" customFormat="1" ht="19.5" customHeight="1">
      <c r="A396" s="738"/>
      <c r="B396" s="738"/>
      <c r="C396" s="835" t="s">
        <v>788</v>
      </c>
      <c r="D396" s="739">
        <f>150000-15000</f>
        <v>135000</v>
      </c>
      <c r="E396" s="739"/>
      <c r="F396" s="739"/>
      <c r="G396" s="740"/>
    </row>
    <row r="397" spans="1:7" s="694" customFormat="1" ht="19.5" customHeight="1">
      <c r="A397" s="706">
        <v>921</v>
      </c>
      <c r="B397" s="706"/>
      <c r="C397" s="706" t="s">
        <v>573</v>
      </c>
      <c r="D397" s="707">
        <f aca="true" t="shared" si="20" ref="D397:F398">D398</f>
        <v>26000</v>
      </c>
      <c r="E397" s="707">
        <f t="shared" si="20"/>
        <v>26000</v>
      </c>
      <c r="F397" s="707">
        <f t="shared" si="20"/>
        <v>26000</v>
      </c>
      <c r="G397" s="708">
        <f>F397/E397</f>
        <v>1</v>
      </c>
    </row>
    <row r="398" spans="1:7" s="714" customFormat="1" ht="18.75" customHeight="1">
      <c r="A398" s="709"/>
      <c r="B398" s="741">
        <v>92116</v>
      </c>
      <c r="C398" s="741" t="s">
        <v>773</v>
      </c>
      <c r="D398" s="742">
        <f t="shared" si="20"/>
        <v>26000</v>
      </c>
      <c r="E398" s="742">
        <f t="shared" si="20"/>
        <v>26000</v>
      </c>
      <c r="F398" s="742">
        <f t="shared" si="20"/>
        <v>26000</v>
      </c>
      <c r="G398" s="743">
        <f>F398/E398</f>
        <v>1</v>
      </c>
    </row>
    <row r="399" spans="1:7" s="694" customFormat="1" ht="29.25" customHeight="1">
      <c r="A399" s="733"/>
      <c r="B399" s="733"/>
      <c r="C399" s="835" t="s">
        <v>789</v>
      </c>
      <c r="D399" s="739">
        <v>26000</v>
      </c>
      <c r="E399" s="739">
        <v>26000</v>
      </c>
      <c r="F399" s="739">
        <v>26000</v>
      </c>
      <c r="G399" s="740">
        <f>F399/E399</f>
        <v>1</v>
      </c>
    </row>
    <row r="400" spans="1:7" ht="24" customHeight="1" thickBot="1">
      <c r="A400" s="733"/>
      <c r="B400" s="733"/>
      <c r="C400" s="836" t="s">
        <v>790</v>
      </c>
      <c r="D400" s="828">
        <f>D402+D450</f>
        <v>53977729</v>
      </c>
      <c r="E400" s="828">
        <f>E402+E450</f>
        <v>53191595</v>
      </c>
      <c r="F400" s="828">
        <f>F402+F450</f>
        <v>52472804</v>
      </c>
      <c r="G400" s="829">
        <f>F400/E400</f>
        <v>0.9864867560373025</v>
      </c>
    </row>
    <row r="401" spans="1:7" ht="15" customHeight="1" thickTop="1">
      <c r="A401" s="733"/>
      <c r="B401" s="733"/>
      <c r="C401" s="733" t="s">
        <v>308</v>
      </c>
      <c r="D401" s="749"/>
      <c r="E401" s="749"/>
      <c r="F401" s="749"/>
      <c r="G401" s="750"/>
    </row>
    <row r="402" spans="1:7" ht="19.5" customHeight="1">
      <c r="A402" s="738"/>
      <c r="B402" s="738"/>
      <c r="C402" s="837" t="s">
        <v>791</v>
      </c>
      <c r="D402" s="838">
        <f>D403+D408+D414+D417+D420+D446</f>
        <v>33306195</v>
      </c>
      <c r="E402" s="838">
        <f>E403+E408+E414+E417+E420+E446</f>
        <v>32124832</v>
      </c>
      <c r="F402" s="838">
        <f>F403+F408+F414+F417+F420+F446</f>
        <v>31748771</v>
      </c>
      <c r="G402" s="839">
        <f aca="true" t="shared" si="21" ref="G402:G412">F402/E402</f>
        <v>0.9882937597930473</v>
      </c>
    </row>
    <row r="403" spans="1:7" s="694" customFormat="1" ht="19.5" customHeight="1">
      <c r="A403" s="705">
        <v>750</v>
      </c>
      <c r="B403" s="705"/>
      <c r="C403" s="705" t="s">
        <v>336</v>
      </c>
      <c r="D403" s="731">
        <f>D404</f>
        <v>1463165</v>
      </c>
      <c r="E403" s="731">
        <f>E404</f>
        <v>1512165</v>
      </c>
      <c r="F403" s="731">
        <f>F404</f>
        <v>1512165</v>
      </c>
      <c r="G403" s="732">
        <f t="shared" si="21"/>
        <v>1</v>
      </c>
    </row>
    <row r="404" spans="1:7" s="805" customFormat="1" ht="19.5" customHeight="1">
      <c r="A404" s="801"/>
      <c r="B404" s="797">
        <v>75011</v>
      </c>
      <c r="C404" s="797" t="s">
        <v>459</v>
      </c>
      <c r="D404" s="798">
        <f>SUM(D405:D407)</f>
        <v>1463165</v>
      </c>
      <c r="E404" s="798">
        <f>SUM(E405:E407)</f>
        <v>1512165</v>
      </c>
      <c r="F404" s="798">
        <f>SUM(F405:F407)</f>
        <v>1512165</v>
      </c>
      <c r="G404" s="799">
        <f t="shared" si="21"/>
        <v>1</v>
      </c>
    </row>
    <row r="405" spans="1:7" s="805" customFormat="1" ht="19.5" customHeight="1">
      <c r="A405" s="806"/>
      <c r="B405" s="840"/>
      <c r="C405" s="802" t="s">
        <v>650</v>
      </c>
      <c r="D405" s="803">
        <v>1185080</v>
      </c>
      <c r="E405" s="803">
        <v>1225180</v>
      </c>
      <c r="F405" s="803">
        <v>1225180</v>
      </c>
      <c r="G405" s="804">
        <f t="shared" si="21"/>
        <v>1</v>
      </c>
    </row>
    <row r="406" spans="1:7" s="805" customFormat="1" ht="19.5" customHeight="1">
      <c r="A406" s="806"/>
      <c r="B406" s="806"/>
      <c r="C406" s="807" t="s">
        <v>651</v>
      </c>
      <c r="D406" s="808">
        <v>37135</v>
      </c>
      <c r="E406" s="808">
        <v>38135</v>
      </c>
      <c r="F406" s="808">
        <v>38135</v>
      </c>
      <c r="G406" s="809">
        <f t="shared" si="21"/>
        <v>1</v>
      </c>
    </row>
    <row r="407" spans="1:7" s="805" customFormat="1" ht="19.5" customHeight="1">
      <c r="A407" s="806"/>
      <c r="B407" s="815"/>
      <c r="C407" s="815" t="s">
        <v>652</v>
      </c>
      <c r="D407" s="841">
        <v>240950</v>
      </c>
      <c r="E407" s="841">
        <v>248850</v>
      </c>
      <c r="F407" s="841">
        <v>248850</v>
      </c>
      <c r="G407" s="842">
        <f t="shared" si="21"/>
        <v>1</v>
      </c>
    </row>
    <row r="408" spans="1:7" s="694" customFormat="1" ht="28.5" customHeight="1">
      <c r="A408" s="843">
        <v>751</v>
      </c>
      <c r="B408" s="706"/>
      <c r="C408" s="770" t="s">
        <v>792</v>
      </c>
      <c r="D408" s="707">
        <f>D409</f>
        <v>27830</v>
      </c>
      <c r="E408" s="707">
        <f>E409+E411</f>
        <v>662980</v>
      </c>
      <c r="F408" s="707">
        <f>F409+F411</f>
        <v>662980</v>
      </c>
      <c r="G408" s="708">
        <f t="shared" si="21"/>
        <v>1</v>
      </c>
    </row>
    <row r="409" spans="1:7" s="694" customFormat="1" ht="29.25" customHeight="1">
      <c r="A409" s="735"/>
      <c r="B409" s="763">
        <v>75101</v>
      </c>
      <c r="C409" s="757" t="s">
        <v>793</v>
      </c>
      <c r="D409" s="742">
        <f>D410</f>
        <v>27830</v>
      </c>
      <c r="E409" s="742">
        <f>E410</f>
        <v>27830</v>
      </c>
      <c r="F409" s="742">
        <f>F410</f>
        <v>27830</v>
      </c>
      <c r="G409" s="743">
        <f t="shared" si="21"/>
        <v>1</v>
      </c>
    </row>
    <row r="410" spans="1:7" s="694" customFormat="1" ht="19.5" customHeight="1">
      <c r="A410" s="733"/>
      <c r="B410" s="738"/>
      <c r="C410" s="758" t="s">
        <v>794</v>
      </c>
      <c r="D410" s="739">
        <v>27830</v>
      </c>
      <c r="E410" s="739">
        <v>27830</v>
      </c>
      <c r="F410" s="739">
        <v>27830</v>
      </c>
      <c r="G410" s="740">
        <f t="shared" si="21"/>
        <v>1</v>
      </c>
    </row>
    <row r="411" spans="1:7" s="694" customFormat="1" ht="19.5" customHeight="1">
      <c r="A411" s="733"/>
      <c r="B411" s="741">
        <v>75110</v>
      </c>
      <c r="C411" s="757" t="s">
        <v>466</v>
      </c>
      <c r="D411" s="739"/>
      <c r="E411" s="742">
        <f>E412</f>
        <v>635150</v>
      </c>
      <c r="F411" s="742">
        <f>F412</f>
        <v>635150</v>
      </c>
      <c r="G411" s="743">
        <f t="shared" si="21"/>
        <v>1</v>
      </c>
    </row>
    <row r="412" spans="1:7" s="694" customFormat="1" ht="19.5" customHeight="1">
      <c r="A412" s="733"/>
      <c r="B412" s="733"/>
      <c r="C412" s="754" t="s">
        <v>795</v>
      </c>
      <c r="D412" s="749"/>
      <c r="E412" s="749">
        <v>635150</v>
      </c>
      <c r="F412" s="749">
        <v>635150</v>
      </c>
      <c r="G412" s="750">
        <f t="shared" si="21"/>
        <v>1</v>
      </c>
    </row>
    <row r="413" spans="1:7" s="694" customFormat="1" ht="30.75" customHeight="1">
      <c r="A413" s="774"/>
      <c r="B413" s="774"/>
      <c r="C413" s="775"/>
      <c r="D413" s="776"/>
      <c r="E413" s="776"/>
      <c r="F413" s="776"/>
      <c r="G413" s="777"/>
    </row>
    <row r="414" spans="1:7" s="694" customFormat="1" ht="19.5" customHeight="1">
      <c r="A414" s="769">
        <v>754</v>
      </c>
      <c r="B414" s="706"/>
      <c r="C414" s="770" t="s">
        <v>344</v>
      </c>
      <c r="D414" s="707">
        <f aca="true" t="shared" si="22" ref="D414:F415">D415</f>
        <v>2200</v>
      </c>
      <c r="E414" s="707">
        <f t="shared" si="22"/>
        <v>2200</v>
      </c>
      <c r="F414" s="707">
        <f t="shared" si="22"/>
        <v>2200</v>
      </c>
      <c r="G414" s="708">
        <f aca="true" t="shared" si="23" ref="G414:G445">F414/E414</f>
        <v>1</v>
      </c>
    </row>
    <row r="415" spans="1:7" s="694" customFormat="1" ht="18.75" customHeight="1">
      <c r="A415" s="735"/>
      <c r="B415" s="711">
        <v>75414</v>
      </c>
      <c r="C415" s="773" t="s">
        <v>469</v>
      </c>
      <c r="D415" s="712">
        <f t="shared" si="22"/>
        <v>2200</v>
      </c>
      <c r="E415" s="712">
        <f t="shared" si="22"/>
        <v>2200</v>
      </c>
      <c r="F415" s="712">
        <f t="shared" si="22"/>
        <v>2200</v>
      </c>
      <c r="G415" s="713">
        <f t="shared" si="23"/>
        <v>1</v>
      </c>
    </row>
    <row r="416" spans="1:7" s="694" customFormat="1" ht="18.75" customHeight="1">
      <c r="A416" s="738"/>
      <c r="B416" s="738"/>
      <c r="C416" s="758" t="s">
        <v>796</v>
      </c>
      <c r="D416" s="739">
        <v>2200</v>
      </c>
      <c r="E416" s="739">
        <v>2200</v>
      </c>
      <c r="F416" s="739">
        <v>2200</v>
      </c>
      <c r="G416" s="740">
        <f t="shared" si="23"/>
        <v>1</v>
      </c>
    </row>
    <row r="417" spans="1:7" s="694" customFormat="1" ht="18.75" customHeight="1">
      <c r="A417" s="769">
        <v>801</v>
      </c>
      <c r="B417" s="706"/>
      <c r="C417" s="770" t="s">
        <v>386</v>
      </c>
      <c r="D417" s="707"/>
      <c r="E417" s="707">
        <f>E418</f>
        <v>52359</v>
      </c>
      <c r="F417" s="707">
        <f>F418</f>
        <v>52359</v>
      </c>
      <c r="G417" s="708">
        <f t="shared" si="23"/>
        <v>1</v>
      </c>
    </row>
    <row r="418" spans="1:7" s="694" customFormat="1" ht="18.75" customHeight="1">
      <c r="A418" s="735"/>
      <c r="B418" s="711">
        <v>80101</v>
      </c>
      <c r="C418" s="773" t="s">
        <v>387</v>
      </c>
      <c r="D418" s="712"/>
      <c r="E418" s="712">
        <f>E419</f>
        <v>52359</v>
      </c>
      <c r="F418" s="712">
        <f>F419</f>
        <v>52359</v>
      </c>
      <c r="G418" s="713">
        <f t="shared" si="23"/>
        <v>1</v>
      </c>
    </row>
    <row r="419" spans="1:7" s="694" customFormat="1" ht="18.75" customHeight="1">
      <c r="A419" s="738"/>
      <c r="B419" s="738"/>
      <c r="C419" s="758" t="s">
        <v>797</v>
      </c>
      <c r="D419" s="739"/>
      <c r="E419" s="739">
        <v>52359</v>
      </c>
      <c r="F419" s="739">
        <v>52359</v>
      </c>
      <c r="G419" s="740">
        <f t="shared" si="23"/>
        <v>1</v>
      </c>
    </row>
    <row r="420" spans="1:7" s="694" customFormat="1" ht="19.5" customHeight="1">
      <c r="A420" s="706">
        <v>853</v>
      </c>
      <c r="B420" s="706"/>
      <c r="C420" s="706" t="s">
        <v>395</v>
      </c>
      <c r="D420" s="707">
        <f>D421+D432+D434+D436+D440+D430</f>
        <v>28719000</v>
      </c>
      <c r="E420" s="707">
        <f>E421+E432+E434+E436+E440+E430+E444+E442</f>
        <v>26736268</v>
      </c>
      <c r="F420" s="707">
        <f>F421+F432+F434+F436+F440+F430+F444+F442</f>
        <v>26736268</v>
      </c>
      <c r="G420" s="708">
        <f t="shared" si="23"/>
        <v>1</v>
      </c>
    </row>
    <row r="421" spans="1:7" s="694" customFormat="1" ht="19.5" customHeight="1">
      <c r="A421" s="733"/>
      <c r="B421" s="711">
        <v>85303</v>
      </c>
      <c r="C421" s="711" t="s">
        <v>396</v>
      </c>
      <c r="D421" s="712">
        <f>D422+D426+D427</f>
        <v>665000</v>
      </c>
      <c r="E421" s="712">
        <f>E422+E426+E427+E428+E429</f>
        <v>885000</v>
      </c>
      <c r="F421" s="712">
        <f>F422+F426+F427+F428+F429</f>
        <v>885000</v>
      </c>
      <c r="G421" s="713">
        <f t="shared" si="23"/>
        <v>1</v>
      </c>
    </row>
    <row r="422" spans="1:7" s="694" customFormat="1" ht="27" customHeight="1">
      <c r="A422" s="733"/>
      <c r="B422" s="733"/>
      <c r="C422" s="844" t="s">
        <v>798</v>
      </c>
      <c r="D422" s="845">
        <f>SUM(D423:D425)</f>
        <v>389000</v>
      </c>
      <c r="E422" s="845">
        <f>SUM(E423:E425)</f>
        <v>488000</v>
      </c>
      <c r="F422" s="845">
        <f>SUM(F423:F425)</f>
        <v>488000</v>
      </c>
      <c r="G422" s="846">
        <f t="shared" si="23"/>
        <v>1</v>
      </c>
    </row>
    <row r="423" spans="1:7" s="694" customFormat="1" ht="18.75" customHeight="1">
      <c r="A423" s="733"/>
      <c r="B423" s="733"/>
      <c r="C423" s="847" t="s">
        <v>650</v>
      </c>
      <c r="D423" s="848">
        <v>245000</v>
      </c>
      <c r="E423" s="848">
        <v>245000</v>
      </c>
      <c r="F423" s="848">
        <v>245000</v>
      </c>
      <c r="G423" s="849">
        <f t="shared" si="23"/>
        <v>1</v>
      </c>
    </row>
    <row r="424" spans="1:7" s="694" customFormat="1" ht="18.75" customHeight="1">
      <c r="A424" s="733"/>
      <c r="B424" s="733"/>
      <c r="C424" s="746" t="s">
        <v>651</v>
      </c>
      <c r="D424" s="747">
        <v>94000</v>
      </c>
      <c r="E424" s="747">
        <v>194035</v>
      </c>
      <c r="F424" s="747">
        <v>194035</v>
      </c>
      <c r="G424" s="748">
        <f t="shared" si="23"/>
        <v>1</v>
      </c>
    </row>
    <row r="425" spans="1:7" s="694" customFormat="1" ht="18.75" customHeight="1">
      <c r="A425" s="733"/>
      <c r="B425" s="733"/>
      <c r="C425" s="745" t="s">
        <v>652</v>
      </c>
      <c r="D425" s="727">
        <v>50000</v>
      </c>
      <c r="E425" s="727">
        <v>48965</v>
      </c>
      <c r="F425" s="727">
        <v>48965</v>
      </c>
      <c r="G425" s="728">
        <f t="shared" si="23"/>
        <v>1</v>
      </c>
    </row>
    <row r="426" spans="1:7" s="694" customFormat="1" ht="19.5" customHeight="1">
      <c r="A426" s="733"/>
      <c r="B426" s="733"/>
      <c r="C426" s="850" t="s">
        <v>799</v>
      </c>
      <c r="D426" s="851">
        <v>270000</v>
      </c>
      <c r="E426" s="851">
        <v>349000</v>
      </c>
      <c r="F426" s="851">
        <v>349000</v>
      </c>
      <c r="G426" s="852">
        <f t="shared" si="23"/>
        <v>1</v>
      </c>
    </row>
    <row r="427" spans="1:7" s="694" customFormat="1" ht="30" customHeight="1">
      <c r="A427" s="733"/>
      <c r="B427" s="733"/>
      <c r="C427" s="853" t="s">
        <v>800</v>
      </c>
      <c r="D427" s="854">
        <v>6000</v>
      </c>
      <c r="E427" s="854">
        <v>6000</v>
      </c>
      <c r="F427" s="854">
        <v>6000</v>
      </c>
      <c r="G427" s="855">
        <f t="shared" si="23"/>
        <v>1</v>
      </c>
    </row>
    <row r="428" spans="1:7" s="694" customFormat="1" ht="29.25" customHeight="1">
      <c r="A428" s="733"/>
      <c r="B428" s="733"/>
      <c r="C428" s="853" t="s">
        <v>801</v>
      </c>
      <c r="D428" s="854"/>
      <c r="E428" s="854">
        <v>22000</v>
      </c>
      <c r="F428" s="854">
        <v>22000</v>
      </c>
      <c r="G428" s="855">
        <f t="shared" si="23"/>
        <v>1</v>
      </c>
    </row>
    <row r="429" spans="1:7" s="694" customFormat="1" ht="28.5" customHeight="1">
      <c r="A429" s="733"/>
      <c r="B429" s="738"/>
      <c r="C429" s="758" t="s">
        <v>802</v>
      </c>
      <c r="D429" s="739"/>
      <c r="E429" s="739">
        <v>20000</v>
      </c>
      <c r="F429" s="739">
        <v>20000</v>
      </c>
      <c r="G429" s="856">
        <f t="shared" si="23"/>
        <v>1</v>
      </c>
    </row>
    <row r="430" spans="1:7" s="694" customFormat="1" ht="30" customHeight="1">
      <c r="A430" s="733"/>
      <c r="B430" s="763">
        <v>85313</v>
      </c>
      <c r="C430" s="757" t="s">
        <v>478</v>
      </c>
      <c r="D430" s="742">
        <f>D431</f>
        <v>1473000</v>
      </c>
      <c r="E430" s="742">
        <f>E431</f>
        <v>864000</v>
      </c>
      <c r="F430" s="742">
        <f>F431</f>
        <v>864000</v>
      </c>
      <c r="G430" s="743">
        <f t="shared" si="23"/>
        <v>1</v>
      </c>
    </row>
    <row r="431" spans="1:7" s="694" customFormat="1" ht="29.25" customHeight="1">
      <c r="A431" s="733"/>
      <c r="B431" s="744"/>
      <c r="C431" s="716" t="s">
        <v>803</v>
      </c>
      <c r="D431" s="717">
        <f>1244000+229000</f>
        <v>1473000</v>
      </c>
      <c r="E431" s="717">
        <v>864000</v>
      </c>
      <c r="F431" s="717">
        <v>864000</v>
      </c>
      <c r="G431" s="718">
        <f t="shared" si="23"/>
        <v>1</v>
      </c>
    </row>
    <row r="432" spans="1:7" s="694" customFormat="1" ht="30" customHeight="1">
      <c r="A432" s="733"/>
      <c r="B432" s="763">
        <v>85314</v>
      </c>
      <c r="C432" s="757" t="s">
        <v>804</v>
      </c>
      <c r="D432" s="742">
        <f>SUM(D433:D433)</f>
        <v>20316000</v>
      </c>
      <c r="E432" s="742">
        <f>SUM(E433:E433)</f>
        <v>18711349</v>
      </c>
      <c r="F432" s="742">
        <f>SUM(F433:F433)</f>
        <v>18711349</v>
      </c>
      <c r="G432" s="743">
        <f t="shared" si="23"/>
        <v>1</v>
      </c>
    </row>
    <row r="433" spans="1:7" s="694" customFormat="1" ht="19.5" customHeight="1">
      <c r="A433" s="733"/>
      <c r="B433" s="744"/>
      <c r="C433" s="744" t="s">
        <v>707</v>
      </c>
      <c r="D433" s="726">
        <f>20260000+56000</f>
        <v>20316000</v>
      </c>
      <c r="E433" s="726">
        <v>18711349</v>
      </c>
      <c r="F433" s="726">
        <v>18711349</v>
      </c>
      <c r="G433" s="737">
        <f t="shared" si="23"/>
        <v>1</v>
      </c>
    </row>
    <row r="434" spans="1:7" s="694" customFormat="1" ht="19.5" customHeight="1">
      <c r="A434" s="733"/>
      <c r="B434" s="741">
        <v>85316</v>
      </c>
      <c r="C434" s="757" t="s">
        <v>481</v>
      </c>
      <c r="D434" s="712">
        <f>D435</f>
        <v>2206000</v>
      </c>
      <c r="E434" s="712">
        <f>E435</f>
        <v>1905488</v>
      </c>
      <c r="F434" s="712">
        <f>F435</f>
        <v>1905488</v>
      </c>
      <c r="G434" s="713">
        <f t="shared" si="23"/>
        <v>1</v>
      </c>
    </row>
    <row r="435" spans="1:7" s="694" customFormat="1" ht="18.75" customHeight="1">
      <c r="A435" s="733"/>
      <c r="B435" s="744"/>
      <c r="C435" s="716" t="s">
        <v>707</v>
      </c>
      <c r="D435" s="717">
        <f>2187000+19000</f>
        <v>2206000</v>
      </c>
      <c r="E435" s="717">
        <v>1905488</v>
      </c>
      <c r="F435" s="717">
        <v>1905488</v>
      </c>
      <c r="G435" s="718">
        <f t="shared" si="23"/>
        <v>1</v>
      </c>
    </row>
    <row r="436" spans="1:7" s="694" customFormat="1" ht="19.5" customHeight="1">
      <c r="A436" s="733"/>
      <c r="B436" s="711">
        <v>85319</v>
      </c>
      <c r="C436" s="773" t="s">
        <v>404</v>
      </c>
      <c r="D436" s="712">
        <f>SUM(D437:D439)</f>
        <v>3389000</v>
      </c>
      <c r="E436" s="712">
        <f>SUM(E437:E439)</f>
        <v>3469000</v>
      </c>
      <c r="F436" s="712">
        <f>SUM(F437:F439)</f>
        <v>3469000</v>
      </c>
      <c r="G436" s="713">
        <f t="shared" si="23"/>
        <v>1</v>
      </c>
    </row>
    <row r="437" spans="1:7" s="694" customFormat="1" ht="18.75" customHeight="1">
      <c r="A437" s="733"/>
      <c r="B437" s="733"/>
      <c r="C437" s="736" t="s">
        <v>650</v>
      </c>
      <c r="D437" s="726">
        <v>2529000</v>
      </c>
      <c r="E437" s="726">
        <v>2529000</v>
      </c>
      <c r="F437" s="726">
        <v>2529000</v>
      </c>
      <c r="G437" s="737">
        <f t="shared" si="23"/>
        <v>1</v>
      </c>
    </row>
    <row r="438" spans="1:7" s="694" customFormat="1" ht="18.75" customHeight="1">
      <c r="A438" s="738"/>
      <c r="B438" s="738"/>
      <c r="C438" s="778" t="s">
        <v>651</v>
      </c>
      <c r="D438" s="761">
        <v>366940</v>
      </c>
      <c r="E438" s="761">
        <v>446940</v>
      </c>
      <c r="F438" s="761">
        <v>446940</v>
      </c>
      <c r="G438" s="762">
        <f t="shared" si="23"/>
        <v>1</v>
      </c>
    </row>
    <row r="439" spans="1:7" s="694" customFormat="1" ht="18.75" customHeight="1">
      <c r="A439" s="733"/>
      <c r="B439" s="738"/>
      <c r="C439" s="738" t="s">
        <v>652</v>
      </c>
      <c r="D439" s="739">
        <v>493060</v>
      </c>
      <c r="E439" s="739">
        <v>493060</v>
      </c>
      <c r="F439" s="739">
        <v>493060</v>
      </c>
      <c r="G439" s="740">
        <f t="shared" si="23"/>
        <v>1</v>
      </c>
    </row>
    <row r="440" spans="1:7" s="694" customFormat="1" ht="18.75" customHeight="1">
      <c r="A440" s="733"/>
      <c r="B440" s="741">
        <v>85328</v>
      </c>
      <c r="C440" s="757" t="s">
        <v>405</v>
      </c>
      <c r="D440" s="742">
        <f>D441</f>
        <v>670000</v>
      </c>
      <c r="E440" s="742">
        <f>E441</f>
        <v>851035</v>
      </c>
      <c r="F440" s="742">
        <f>F441</f>
        <v>851035</v>
      </c>
      <c r="G440" s="743">
        <f t="shared" si="23"/>
        <v>1</v>
      </c>
    </row>
    <row r="441" spans="1:7" s="694" customFormat="1" ht="18.75" customHeight="1">
      <c r="A441" s="733"/>
      <c r="B441" s="738"/>
      <c r="C441" s="758" t="s">
        <v>805</v>
      </c>
      <c r="D441" s="739">
        <v>670000</v>
      </c>
      <c r="E441" s="739">
        <v>851035</v>
      </c>
      <c r="F441" s="739">
        <v>851035</v>
      </c>
      <c r="G441" s="740">
        <f t="shared" si="23"/>
        <v>1</v>
      </c>
    </row>
    <row r="442" spans="1:7" s="694" customFormat="1" ht="18.75" customHeight="1">
      <c r="A442" s="733"/>
      <c r="B442" s="741">
        <v>85334</v>
      </c>
      <c r="C442" s="757" t="s">
        <v>486</v>
      </c>
      <c r="D442" s="742"/>
      <c r="E442" s="742">
        <f>E443</f>
        <v>18626</v>
      </c>
      <c r="F442" s="742">
        <f>F443</f>
        <v>18626</v>
      </c>
      <c r="G442" s="743">
        <f t="shared" si="23"/>
        <v>1</v>
      </c>
    </row>
    <row r="443" spans="1:7" s="694" customFormat="1" ht="18.75" customHeight="1">
      <c r="A443" s="733"/>
      <c r="B443" s="738"/>
      <c r="C443" s="758" t="s">
        <v>806</v>
      </c>
      <c r="D443" s="739"/>
      <c r="E443" s="739">
        <v>18626</v>
      </c>
      <c r="F443" s="739">
        <v>18626</v>
      </c>
      <c r="G443" s="740">
        <f t="shared" si="23"/>
        <v>1</v>
      </c>
    </row>
    <row r="444" spans="1:7" s="694" customFormat="1" ht="18.75" customHeight="1">
      <c r="A444" s="733"/>
      <c r="B444" s="741">
        <v>85395</v>
      </c>
      <c r="C444" s="757" t="s">
        <v>314</v>
      </c>
      <c r="D444" s="739"/>
      <c r="E444" s="742">
        <f>E445</f>
        <v>31770</v>
      </c>
      <c r="F444" s="742">
        <f>F445</f>
        <v>31770</v>
      </c>
      <c r="G444" s="743">
        <f t="shared" si="23"/>
        <v>1</v>
      </c>
    </row>
    <row r="445" spans="1:7" s="694" customFormat="1" ht="18.75" customHeight="1">
      <c r="A445" s="738"/>
      <c r="B445" s="738"/>
      <c r="C445" s="758" t="s">
        <v>797</v>
      </c>
      <c r="D445" s="739"/>
      <c r="E445" s="739">
        <v>31770</v>
      </c>
      <c r="F445" s="739">
        <v>31770</v>
      </c>
      <c r="G445" s="740">
        <f t="shared" si="23"/>
        <v>1</v>
      </c>
    </row>
    <row r="446" spans="1:7" s="694" customFormat="1" ht="19.5" customHeight="1">
      <c r="A446" s="857">
        <v>900</v>
      </c>
      <c r="B446" s="706"/>
      <c r="C446" s="706" t="s">
        <v>413</v>
      </c>
      <c r="D446" s="707">
        <f>D447</f>
        <v>3094000</v>
      </c>
      <c r="E446" s="707">
        <f>E447</f>
        <v>3158860</v>
      </c>
      <c r="F446" s="707">
        <f>F447</f>
        <v>2782799</v>
      </c>
      <c r="G446" s="708">
        <f aca="true" t="shared" si="24" ref="G446:G464">F446/E446</f>
        <v>0.880950406159184</v>
      </c>
    </row>
    <row r="447" spans="1:7" s="694" customFormat="1" ht="19.5" customHeight="1">
      <c r="A447" s="733"/>
      <c r="B447" s="711">
        <v>90015</v>
      </c>
      <c r="C447" s="711" t="s">
        <v>419</v>
      </c>
      <c r="D447" s="712">
        <f>SUM(D448:D449)</f>
        <v>3094000</v>
      </c>
      <c r="E447" s="712">
        <f>SUM(E448:E449)</f>
        <v>3158860</v>
      </c>
      <c r="F447" s="712">
        <f>SUM(F448:F449)</f>
        <v>2782799</v>
      </c>
      <c r="G447" s="713">
        <f t="shared" si="24"/>
        <v>0.880950406159184</v>
      </c>
    </row>
    <row r="448" spans="1:7" s="694" customFormat="1" ht="31.5" customHeight="1">
      <c r="A448" s="733"/>
      <c r="B448" s="733"/>
      <c r="C448" s="858" t="s">
        <v>807</v>
      </c>
      <c r="D448" s="726">
        <v>2955000</v>
      </c>
      <c r="E448" s="726">
        <v>3019860</v>
      </c>
      <c r="F448" s="726">
        <v>2723799</v>
      </c>
      <c r="G448" s="737">
        <f t="shared" si="24"/>
        <v>0.901962011483976</v>
      </c>
    </row>
    <row r="449" spans="1:7" s="694" customFormat="1" ht="28.5" customHeight="1">
      <c r="A449" s="733"/>
      <c r="B449" s="733"/>
      <c r="C449" s="760" t="s">
        <v>808</v>
      </c>
      <c r="D449" s="761">
        <f>59000+80000</f>
        <v>139000</v>
      </c>
      <c r="E449" s="761">
        <v>139000</v>
      </c>
      <c r="F449" s="761">
        <v>59000</v>
      </c>
      <c r="G449" s="762">
        <f t="shared" si="24"/>
        <v>0.4244604316546763</v>
      </c>
    </row>
    <row r="450" spans="1:7" ht="29.25" customHeight="1">
      <c r="A450" s="738"/>
      <c r="B450" s="738"/>
      <c r="C450" s="859" t="s">
        <v>809</v>
      </c>
      <c r="D450" s="838">
        <f>D451+D457+D460+D468+D475+D480+D487</f>
        <v>20671534</v>
      </c>
      <c r="E450" s="838">
        <f>E451+E457+E460+E468+E475+E480+E487</f>
        <v>21066763</v>
      </c>
      <c r="F450" s="838">
        <f>F451+F457+F460+F468+F475+F480+F487</f>
        <v>20724033</v>
      </c>
      <c r="G450" s="839">
        <f t="shared" si="24"/>
        <v>0.9837312452795904</v>
      </c>
    </row>
    <row r="451" spans="1:7" s="694" customFormat="1" ht="19.5" customHeight="1">
      <c r="A451" s="860" t="s">
        <v>311</v>
      </c>
      <c r="B451" s="706"/>
      <c r="C451" s="706" t="s">
        <v>312</v>
      </c>
      <c r="D451" s="707">
        <f>D452</f>
        <v>913750</v>
      </c>
      <c r="E451" s="707">
        <f>E452</f>
        <v>348750</v>
      </c>
      <c r="F451" s="707">
        <f>F452</f>
        <v>348750</v>
      </c>
      <c r="G451" s="708">
        <f t="shared" si="24"/>
        <v>1</v>
      </c>
    </row>
    <row r="452" spans="1:7" s="694" customFormat="1" ht="19.5" customHeight="1">
      <c r="A452" s="733"/>
      <c r="B452" s="861" t="s">
        <v>492</v>
      </c>
      <c r="C452" s="711" t="s">
        <v>493</v>
      </c>
      <c r="D452" s="712">
        <f>SUM(D453:D456)</f>
        <v>913750</v>
      </c>
      <c r="E452" s="712">
        <f>SUM(E453:E456)</f>
        <v>348750</v>
      </c>
      <c r="F452" s="712">
        <f>SUM(F453:F456)</f>
        <v>348750</v>
      </c>
      <c r="G452" s="713">
        <f t="shared" si="24"/>
        <v>1</v>
      </c>
    </row>
    <row r="453" spans="1:7" s="694" customFormat="1" ht="19.5" customHeight="1">
      <c r="A453" s="733"/>
      <c r="B453" s="733"/>
      <c r="C453" s="802" t="s">
        <v>650</v>
      </c>
      <c r="D453" s="726">
        <v>650120</v>
      </c>
      <c r="E453" s="726">
        <v>229840</v>
      </c>
      <c r="F453" s="726">
        <v>229840</v>
      </c>
      <c r="G453" s="737">
        <f t="shared" si="24"/>
        <v>1</v>
      </c>
    </row>
    <row r="454" spans="1:7" s="694" customFormat="1" ht="19.5" customHeight="1">
      <c r="A454" s="733"/>
      <c r="B454" s="733"/>
      <c r="C454" s="807" t="s">
        <v>651</v>
      </c>
      <c r="D454" s="747">
        <v>128480</v>
      </c>
      <c r="E454" s="747">
        <v>57133</v>
      </c>
      <c r="F454" s="747">
        <v>57133</v>
      </c>
      <c r="G454" s="748">
        <f t="shared" si="24"/>
        <v>1</v>
      </c>
    </row>
    <row r="455" spans="1:7" s="694" customFormat="1" ht="19.5" customHeight="1">
      <c r="A455" s="733"/>
      <c r="B455" s="733"/>
      <c r="C455" s="807" t="s">
        <v>652</v>
      </c>
      <c r="D455" s="747">
        <v>131400</v>
      </c>
      <c r="E455" s="747">
        <v>58027</v>
      </c>
      <c r="F455" s="747">
        <v>58027</v>
      </c>
      <c r="G455" s="748">
        <f t="shared" si="24"/>
        <v>1</v>
      </c>
    </row>
    <row r="456" spans="1:7" s="694" customFormat="1" ht="42.75" customHeight="1">
      <c r="A456" s="733"/>
      <c r="B456" s="738"/>
      <c r="C456" s="835" t="s">
        <v>810</v>
      </c>
      <c r="D456" s="761">
        <v>3750</v>
      </c>
      <c r="E456" s="761">
        <v>3750</v>
      </c>
      <c r="F456" s="761">
        <v>3750</v>
      </c>
      <c r="G456" s="762">
        <f t="shared" si="24"/>
        <v>1</v>
      </c>
    </row>
    <row r="457" spans="1:7" s="694" customFormat="1" ht="19.5" customHeight="1">
      <c r="A457" s="857" t="s">
        <v>811</v>
      </c>
      <c r="B457" s="706"/>
      <c r="C457" s="706" t="s">
        <v>316</v>
      </c>
      <c r="D457" s="707">
        <f aca="true" t="shared" si="25" ref="D457:F458">D458</f>
        <v>320000</v>
      </c>
      <c r="E457" s="707">
        <f t="shared" si="25"/>
        <v>1140076</v>
      </c>
      <c r="F457" s="707">
        <f t="shared" si="25"/>
        <v>1087618</v>
      </c>
      <c r="G457" s="708">
        <f t="shared" si="24"/>
        <v>0.953987278041113</v>
      </c>
    </row>
    <row r="458" spans="1:7" s="694" customFormat="1" ht="19.5" customHeight="1">
      <c r="A458" s="735"/>
      <c r="B458" s="711">
        <v>70005</v>
      </c>
      <c r="C458" s="862" t="s">
        <v>319</v>
      </c>
      <c r="D458" s="712">
        <f t="shared" si="25"/>
        <v>320000</v>
      </c>
      <c r="E458" s="712">
        <f t="shared" si="25"/>
        <v>1140076</v>
      </c>
      <c r="F458" s="712">
        <f t="shared" si="25"/>
        <v>1087618</v>
      </c>
      <c r="G458" s="713">
        <f t="shared" si="24"/>
        <v>0.953987278041113</v>
      </c>
    </row>
    <row r="459" spans="1:7" s="694" customFormat="1" ht="19.5" customHeight="1">
      <c r="A459" s="738"/>
      <c r="B459" s="738"/>
      <c r="C459" s="815" t="s">
        <v>812</v>
      </c>
      <c r="D459" s="739">
        <v>320000</v>
      </c>
      <c r="E459" s="739">
        <v>1140076</v>
      </c>
      <c r="F459" s="739">
        <v>1087618</v>
      </c>
      <c r="G459" s="740">
        <f t="shared" si="24"/>
        <v>0.953987278041113</v>
      </c>
    </row>
    <row r="460" spans="1:7" s="694" customFormat="1" ht="19.5" customHeight="1">
      <c r="A460" s="706">
        <v>710</v>
      </c>
      <c r="B460" s="706"/>
      <c r="C460" s="706" t="s">
        <v>332</v>
      </c>
      <c r="D460" s="707">
        <f>D461+D463</f>
        <v>411512</v>
      </c>
      <c r="E460" s="707">
        <f>E461+E463</f>
        <v>424099</v>
      </c>
      <c r="F460" s="707">
        <f>F461+F463</f>
        <v>422897</v>
      </c>
      <c r="G460" s="708">
        <f t="shared" si="24"/>
        <v>0.9971657561088331</v>
      </c>
    </row>
    <row r="461" spans="1:7" s="694" customFormat="1" ht="19.5" customHeight="1">
      <c r="A461" s="733"/>
      <c r="B461" s="711">
        <v>71013</v>
      </c>
      <c r="C461" s="711" t="s">
        <v>581</v>
      </c>
      <c r="D461" s="712">
        <f>D462</f>
        <v>80000</v>
      </c>
      <c r="E461" s="712">
        <f>E462</f>
        <v>80000</v>
      </c>
      <c r="F461" s="712">
        <f>F462</f>
        <v>80000</v>
      </c>
      <c r="G461" s="713">
        <f t="shared" si="24"/>
        <v>1</v>
      </c>
    </row>
    <row r="462" spans="1:7" s="694" customFormat="1" ht="31.5" customHeight="1">
      <c r="A462" s="738"/>
      <c r="B462" s="738"/>
      <c r="C462" s="716" t="s">
        <v>813</v>
      </c>
      <c r="D462" s="717">
        <v>80000</v>
      </c>
      <c r="E462" s="717">
        <v>80000</v>
      </c>
      <c r="F462" s="717">
        <v>80000</v>
      </c>
      <c r="G462" s="740">
        <f t="shared" si="24"/>
        <v>1</v>
      </c>
    </row>
    <row r="463" spans="1:7" s="694" customFormat="1" ht="19.5" customHeight="1">
      <c r="A463" s="733"/>
      <c r="B463" s="741">
        <v>71015</v>
      </c>
      <c r="C463" s="773" t="s">
        <v>500</v>
      </c>
      <c r="D463" s="712">
        <f>SUM(D464:D466)</f>
        <v>331512</v>
      </c>
      <c r="E463" s="712">
        <f>SUM(E464:E467)</f>
        <v>344099</v>
      </c>
      <c r="F463" s="712">
        <f>SUM(F464:F467)</f>
        <v>342897</v>
      </c>
      <c r="G463" s="713">
        <f t="shared" si="24"/>
        <v>0.9965068192584111</v>
      </c>
    </row>
    <row r="464" spans="1:7" s="694" customFormat="1" ht="19.5" customHeight="1">
      <c r="A464" s="733"/>
      <c r="B464" s="733"/>
      <c r="C464" s="802" t="s">
        <v>650</v>
      </c>
      <c r="D464" s="726">
        <v>233520</v>
      </c>
      <c r="E464" s="726">
        <v>232379</v>
      </c>
      <c r="F464" s="726">
        <v>231352</v>
      </c>
      <c r="G464" s="737">
        <f t="shared" si="24"/>
        <v>0.9955804956558036</v>
      </c>
    </row>
    <row r="465" spans="1:7" s="694" customFormat="1" ht="19.5" customHeight="1">
      <c r="A465" s="733"/>
      <c r="B465" s="733"/>
      <c r="C465" s="807" t="s">
        <v>651</v>
      </c>
      <c r="D465" s="747">
        <v>50772</v>
      </c>
      <c r="E465" s="747">
        <v>74390</v>
      </c>
      <c r="F465" s="747">
        <v>74388</v>
      </c>
      <c r="G465" s="748">
        <v>0.9999</v>
      </c>
    </row>
    <row r="466" spans="1:7" s="694" customFormat="1" ht="19.5" customHeight="1">
      <c r="A466" s="733"/>
      <c r="B466" s="733"/>
      <c r="C466" s="807" t="s">
        <v>652</v>
      </c>
      <c r="D466" s="747">
        <v>47220</v>
      </c>
      <c r="E466" s="747">
        <v>33330</v>
      </c>
      <c r="F466" s="747">
        <v>33213</v>
      </c>
      <c r="G466" s="748">
        <f aca="true" t="shared" si="26" ref="G466:G485">F466/E466</f>
        <v>0.9964896489648964</v>
      </c>
    </row>
    <row r="467" spans="1:7" s="694" customFormat="1" ht="19.5" customHeight="1">
      <c r="A467" s="738"/>
      <c r="B467" s="738"/>
      <c r="C467" s="816" t="s">
        <v>624</v>
      </c>
      <c r="D467" s="761"/>
      <c r="E467" s="761">
        <v>4000</v>
      </c>
      <c r="F467" s="761">
        <v>3944</v>
      </c>
      <c r="G467" s="762">
        <f t="shared" si="26"/>
        <v>0.986</v>
      </c>
    </row>
    <row r="468" spans="1:7" s="694" customFormat="1" ht="19.5" customHeight="1">
      <c r="A468" s="706">
        <v>750</v>
      </c>
      <c r="B468" s="706"/>
      <c r="C468" s="706" t="s">
        <v>336</v>
      </c>
      <c r="D468" s="707">
        <f>D469+D473</f>
        <v>899272</v>
      </c>
      <c r="E468" s="707">
        <f>E469+E473</f>
        <v>899272</v>
      </c>
      <c r="F468" s="707">
        <f>F469+F473</f>
        <v>899272</v>
      </c>
      <c r="G468" s="708">
        <f t="shared" si="26"/>
        <v>1</v>
      </c>
    </row>
    <row r="469" spans="1:7" s="805" customFormat="1" ht="19.5" customHeight="1">
      <c r="A469" s="801"/>
      <c r="B469" s="797">
        <v>75011</v>
      </c>
      <c r="C469" s="797" t="s">
        <v>459</v>
      </c>
      <c r="D469" s="798">
        <f>SUM(D470:D472)</f>
        <v>785272</v>
      </c>
      <c r="E469" s="798">
        <f>SUM(E470:E472)</f>
        <v>785272</v>
      </c>
      <c r="F469" s="798">
        <f>SUM(F470:F472)</f>
        <v>785272</v>
      </c>
      <c r="G469" s="799">
        <f t="shared" si="26"/>
        <v>1</v>
      </c>
    </row>
    <row r="470" spans="1:7" s="694" customFormat="1" ht="19.5" customHeight="1">
      <c r="A470" s="733"/>
      <c r="B470" s="733"/>
      <c r="C470" s="802" t="s">
        <v>650</v>
      </c>
      <c r="D470" s="726">
        <v>630000</v>
      </c>
      <c r="E470" s="726">
        <v>630000</v>
      </c>
      <c r="F470" s="726">
        <v>630000</v>
      </c>
      <c r="G470" s="737">
        <f t="shared" si="26"/>
        <v>1</v>
      </c>
    </row>
    <row r="471" spans="1:7" s="694" customFormat="1" ht="19.5" customHeight="1">
      <c r="A471" s="733"/>
      <c r="B471" s="733"/>
      <c r="C471" s="807" t="s">
        <v>651</v>
      </c>
      <c r="D471" s="747">
        <v>26772</v>
      </c>
      <c r="E471" s="747">
        <v>26772</v>
      </c>
      <c r="F471" s="747">
        <v>26772</v>
      </c>
      <c r="G471" s="748">
        <f t="shared" si="26"/>
        <v>1</v>
      </c>
    </row>
    <row r="472" spans="1:7" s="694" customFormat="1" ht="19.5" customHeight="1">
      <c r="A472" s="733"/>
      <c r="B472" s="738"/>
      <c r="C472" s="815" t="s">
        <v>652</v>
      </c>
      <c r="D472" s="739">
        <v>128500</v>
      </c>
      <c r="E472" s="739">
        <v>128500</v>
      </c>
      <c r="F472" s="739">
        <v>128500</v>
      </c>
      <c r="G472" s="740">
        <f t="shared" si="26"/>
        <v>1</v>
      </c>
    </row>
    <row r="473" spans="1:7" s="694" customFormat="1" ht="19.5" customHeight="1">
      <c r="A473" s="733"/>
      <c r="B473" s="741">
        <v>75045</v>
      </c>
      <c r="C473" s="797" t="s">
        <v>586</v>
      </c>
      <c r="D473" s="742">
        <f>D474</f>
        <v>114000</v>
      </c>
      <c r="E473" s="742">
        <f>E474</f>
        <v>114000</v>
      </c>
      <c r="F473" s="742">
        <f>F474</f>
        <v>114000</v>
      </c>
      <c r="G473" s="743">
        <f t="shared" si="26"/>
        <v>1</v>
      </c>
    </row>
    <row r="474" spans="1:7" s="694" customFormat="1" ht="29.25" customHeight="1">
      <c r="A474" s="738"/>
      <c r="B474" s="738"/>
      <c r="C474" s="863" t="s">
        <v>814</v>
      </c>
      <c r="D474" s="739">
        <v>114000</v>
      </c>
      <c r="E474" s="739">
        <v>114000</v>
      </c>
      <c r="F474" s="739">
        <v>114000</v>
      </c>
      <c r="G474" s="740">
        <f t="shared" si="26"/>
        <v>1</v>
      </c>
    </row>
    <row r="475" spans="1:7" s="694" customFormat="1" ht="19.5" customHeight="1">
      <c r="A475" s="769">
        <v>754</v>
      </c>
      <c r="B475" s="706"/>
      <c r="C475" s="770" t="s">
        <v>344</v>
      </c>
      <c r="D475" s="707">
        <f>D476</f>
        <v>11299000</v>
      </c>
      <c r="E475" s="707">
        <f>E476</f>
        <v>11324000</v>
      </c>
      <c r="F475" s="707">
        <f>F476</f>
        <v>11324000</v>
      </c>
      <c r="G475" s="708">
        <f t="shared" si="26"/>
        <v>1</v>
      </c>
    </row>
    <row r="476" spans="1:7" s="694" customFormat="1" ht="19.5" customHeight="1">
      <c r="A476" s="733"/>
      <c r="B476" s="741">
        <v>75411</v>
      </c>
      <c r="C476" s="797" t="s">
        <v>564</v>
      </c>
      <c r="D476" s="742">
        <f>SUM(D477:D479)</f>
        <v>11299000</v>
      </c>
      <c r="E476" s="742">
        <f>SUM(E477:E479)</f>
        <v>11324000</v>
      </c>
      <c r="F476" s="742">
        <f>SUM(F477:F479)</f>
        <v>11324000</v>
      </c>
      <c r="G476" s="743">
        <f t="shared" si="26"/>
        <v>1</v>
      </c>
    </row>
    <row r="477" spans="1:7" s="694" customFormat="1" ht="19.5" customHeight="1">
      <c r="A477" s="733"/>
      <c r="B477" s="733"/>
      <c r="C477" s="802" t="s">
        <v>650</v>
      </c>
      <c r="D477" s="726">
        <v>8683400</v>
      </c>
      <c r="E477" s="726">
        <v>8468387</v>
      </c>
      <c r="F477" s="726">
        <v>8468387</v>
      </c>
      <c r="G477" s="737">
        <f t="shared" si="26"/>
        <v>1</v>
      </c>
    </row>
    <row r="478" spans="1:7" s="694" customFormat="1" ht="19.5" customHeight="1">
      <c r="A478" s="733"/>
      <c r="B478" s="733"/>
      <c r="C478" s="810" t="s">
        <v>651</v>
      </c>
      <c r="D478" s="727">
        <f>2409300+43000</f>
        <v>2452300</v>
      </c>
      <c r="E478" s="727">
        <v>2674193</v>
      </c>
      <c r="F478" s="727">
        <v>2674193</v>
      </c>
      <c r="G478" s="728">
        <f t="shared" si="26"/>
        <v>1</v>
      </c>
    </row>
    <row r="479" spans="1:7" s="694" customFormat="1" ht="19.5" customHeight="1">
      <c r="A479" s="733"/>
      <c r="B479" s="733"/>
      <c r="C479" s="807" t="s">
        <v>652</v>
      </c>
      <c r="D479" s="747">
        <v>163300</v>
      </c>
      <c r="E479" s="747">
        <v>181420</v>
      </c>
      <c r="F479" s="747">
        <v>181420</v>
      </c>
      <c r="G479" s="748">
        <f t="shared" si="26"/>
        <v>1</v>
      </c>
    </row>
    <row r="480" spans="1:7" s="694" customFormat="1" ht="19.5" customHeight="1">
      <c r="A480" s="705">
        <v>851</v>
      </c>
      <c r="B480" s="705"/>
      <c r="C480" s="705" t="s">
        <v>393</v>
      </c>
      <c r="D480" s="731">
        <f>D483</f>
        <v>2845000</v>
      </c>
      <c r="E480" s="731">
        <f>E483+E481</f>
        <v>2891323</v>
      </c>
      <c r="F480" s="731">
        <f>F483+F481</f>
        <v>2605163</v>
      </c>
      <c r="G480" s="732">
        <f t="shared" si="26"/>
        <v>0.9010280069020307</v>
      </c>
    </row>
    <row r="481" spans="1:7" s="694" customFormat="1" ht="19.5" customHeight="1">
      <c r="A481" s="733"/>
      <c r="B481" s="741">
        <v>85141</v>
      </c>
      <c r="C481" s="797" t="s">
        <v>589</v>
      </c>
      <c r="D481" s="742"/>
      <c r="E481" s="742">
        <f>E482</f>
        <v>150000</v>
      </c>
      <c r="F481" s="742">
        <f>F482</f>
        <v>150000</v>
      </c>
      <c r="G481" s="743">
        <f t="shared" si="26"/>
        <v>1</v>
      </c>
    </row>
    <row r="482" spans="1:7" s="694" customFormat="1" ht="27" customHeight="1">
      <c r="A482" s="733"/>
      <c r="B482" s="744"/>
      <c r="C482" s="864" t="s">
        <v>815</v>
      </c>
      <c r="D482" s="717"/>
      <c r="E482" s="717">
        <v>150000</v>
      </c>
      <c r="F482" s="717">
        <v>150000</v>
      </c>
      <c r="G482" s="740">
        <f t="shared" si="26"/>
        <v>1</v>
      </c>
    </row>
    <row r="483" spans="1:8" s="694" customFormat="1" ht="29.25" customHeight="1">
      <c r="A483" s="733"/>
      <c r="B483" s="763">
        <v>85156</v>
      </c>
      <c r="C483" s="865" t="s">
        <v>591</v>
      </c>
      <c r="D483" s="742">
        <f>SUM(D484:D485)</f>
        <v>2845000</v>
      </c>
      <c r="E483" s="742">
        <f>SUM(E484:E485)</f>
        <v>2741323</v>
      </c>
      <c r="F483" s="742">
        <f>SUM(F484:F485)</f>
        <v>2455163</v>
      </c>
      <c r="G483" s="743">
        <f t="shared" si="26"/>
        <v>0.895612446982716</v>
      </c>
      <c r="H483" s="714"/>
    </row>
    <row r="484" spans="1:7" s="694" customFormat="1" ht="44.25" customHeight="1">
      <c r="A484" s="733"/>
      <c r="B484" s="733"/>
      <c r="C484" s="866" t="s">
        <v>816</v>
      </c>
      <c r="D484" s="726">
        <v>113000</v>
      </c>
      <c r="E484" s="726">
        <v>109323</v>
      </c>
      <c r="F484" s="726">
        <v>109287</v>
      </c>
      <c r="G484" s="737">
        <f t="shared" si="26"/>
        <v>0.9996707005845065</v>
      </c>
    </row>
    <row r="485" spans="1:7" s="694" customFormat="1" ht="30.75" customHeight="1">
      <c r="A485" s="738"/>
      <c r="B485" s="738"/>
      <c r="C485" s="863" t="s">
        <v>817</v>
      </c>
      <c r="D485" s="739">
        <v>2732000</v>
      </c>
      <c r="E485" s="739">
        <v>2632000</v>
      </c>
      <c r="F485" s="739">
        <v>2345876</v>
      </c>
      <c r="G485" s="740">
        <f t="shared" si="26"/>
        <v>0.891290273556231</v>
      </c>
    </row>
    <row r="486" spans="1:7" s="694" customFormat="1" ht="19.5" customHeight="1">
      <c r="A486" s="774"/>
      <c r="B486" s="774"/>
      <c r="C486" s="867"/>
      <c r="D486" s="776"/>
      <c r="E486" s="776"/>
      <c r="F486" s="776"/>
      <c r="G486" s="777"/>
    </row>
    <row r="487" spans="1:7" s="694" customFormat="1" ht="19.5" customHeight="1">
      <c r="A487" s="706">
        <v>853</v>
      </c>
      <c r="B487" s="706"/>
      <c r="C487" s="706" t="s">
        <v>395</v>
      </c>
      <c r="D487" s="707">
        <f>+D488+D491+D493+D498+D502+D496</f>
        <v>3983000</v>
      </c>
      <c r="E487" s="707">
        <f>+E488+E491+E493+E498+E502+E496</f>
        <v>4039243</v>
      </c>
      <c r="F487" s="707">
        <f>+F488+F491+F493+F498+F502+F496</f>
        <v>4036333</v>
      </c>
      <c r="G487" s="708">
        <f aca="true" t="shared" si="27" ref="G487:G501">F487/E487</f>
        <v>0.9992795679784554</v>
      </c>
    </row>
    <row r="488" spans="1:7" s="694" customFormat="1" ht="19.5" customHeight="1">
      <c r="A488" s="733"/>
      <c r="B488" s="711">
        <v>85303</v>
      </c>
      <c r="C488" s="711" t="s">
        <v>396</v>
      </c>
      <c r="D488" s="712">
        <f>SUM(D489:D490)</f>
        <v>1584000</v>
      </c>
      <c r="E488" s="712">
        <f>SUM(E489:E490)</f>
        <v>1648722</v>
      </c>
      <c r="F488" s="712">
        <f>SUM(F489:F490)</f>
        <v>1648722</v>
      </c>
      <c r="G488" s="713">
        <f t="shared" si="27"/>
        <v>1</v>
      </c>
    </row>
    <row r="489" spans="1:7" s="694" customFormat="1" ht="30" customHeight="1">
      <c r="A489" s="733"/>
      <c r="B489" s="733"/>
      <c r="C489" s="759" t="s">
        <v>818</v>
      </c>
      <c r="D489" s="726">
        <v>720000</v>
      </c>
      <c r="E489" s="726">
        <v>750000</v>
      </c>
      <c r="F489" s="726">
        <v>750000</v>
      </c>
      <c r="G489" s="737">
        <f t="shared" si="27"/>
        <v>1</v>
      </c>
    </row>
    <row r="490" spans="1:7" s="694" customFormat="1" ht="28.5" customHeight="1">
      <c r="A490" s="733"/>
      <c r="B490" s="738"/>
      <c r="C490" s="868" t="s">
        <v>819</v>
      </c>
      <c r="D490" s="761">
        <v>864000</v>
      </c>
      <c r="E490" s="761">
        <v>898722</v>
      </c>
      <c r="F490" s="761">
        <v>898722</v>
      </c>
      <c r="G490" s="762">
        <f t="shared" si="27"/>
        <v>1</v>
      </c>
    </row>
    <row r="491" spans="1:7" s="694" customFormat="1" ht="19.5" customHeight="1">
      <c r="A491" s="733"/>
      <c r="B491" s="711">
        <v>85316</v>
      </c>
      <c r="C491" s="711" t="s">
        <v>481</v>
      </c>
      <c r="D491" s="712">
        <f>SUM(D492:D492)</f>
        <v>40000</v>
      </c>
      <c r="E491" s="712">
        <f>SUM(E492:E492)</f>
        <v>25500</v>
      </c>
      <c r="F491" s="712">
        <f>SUM(F492:F492)</f>
        <v>25178</v>
      </c>
      <c r="G491" s="713">
        <f t="shared" si="27"/>
        <v>0.9873725490196078</v>
      </c>
    </row>
    <row r="492" spans="1:7" s="694" customFormat="1" ht="19.5" customHeight="1">
      <c r="A492" s="733"/>
      <c r="B492" s="738"/>
      <c r="C492" s="778" t="s">
        <v>820</v>
      </c>
      <c r="D492" s="761">
        <v>40000</v>
      </c>
      <c r="E492" s="761">
        <v>25500</v>
      </c>
      <c r="F492" s="761">
        <v>25178</v>
      </c>
      <c r="G492" s="762">
        <f t="shared" si="27"/>
        <v>0.9873725490196078</v>
      </c>
    </row>
    <row r="493" spans="1:7" s="694" customFormat="1" ht="19.5" customHeight="1">
      <c r="A493" s="733"/>
      <c r="B493" s="741">
        <v>85321</v>
      </c>
      <c r="C493" s="741" t="s">
        <v>596</v>
      </c>
      <c r="D493" s="742">
        <f>SUM(D494:D495)</f>
        <v>350000</v>
      </c>
      <c r="E493" s="742">
        <f>SUM(E494:E495)</f>
        <v>381200</v>
      </c>
      <c r="F493" s="742">
        <f>SUM(F494:F495)</f>
        <v>381171</v>
      </c>
      <c r="G493" s="743">
        <f t="shared" si="27"/>
        <v>0.999923924449108</v>
      </c>
    </row>
    <row r="494" spans="1:7" s="694" customFormat="1" ht="28.5" customHeight="1">
      <c r="A494" s="733"/>
      <c r="B494" s="735"/>
      <c r="C494" s="759" t="s">
        <v>710</v>
      </c>
      <c r="D494" s="726">
        <v>340000</v>
      </c>
      <c r="E494" s="726">
        <v>371200</v>
      </c>
      <c r="F494" s="726">
        <v>371200</v>
      </c>
      <c r="G494" s="737">
        <f t="shared" si="27"/>
        <v>1</v>
      </c>
    </row>
    <row r="495" spans="1:7" s="694" customFormat="1" ht="28.5" customHeight="1">
      <c r="A495" s="733"/>
      <c r="B495" s="738"/>
      <c r="C495" s="868" t="s">
        <v>821</v>
      </c>
      <c r="D495" s="761">
        <v>10000</v>
      </c>
      <c r="E495" s="761">
        <v>10000</v>
      </c>
      <c r="F495" s="761">
        <v>9971</v>
      </c>
      <c r="G495" s="762">
        <f t="shared" si="27"/>
        <v>0.9971</v>
      </c>
    </row>
    <row r="496" spans="1:7" s="694" customFormat="1" ht="19.5" customHeight="1">
      <c r="A496" s="733"/>
      <c r="B496" s="741">
        <v>85331</v>
      </c>
      <c r="C496" s="741" t="s">
        <v>599</v>
      </c>
      <c r="D496" s="742">
        <f>D497</f>
        <v>257000</v>
      </c>
      <c r="E496" s="742">
        <f>E497</f>
        <v>61378</v>
      </c>
      <c r="F496" s="742">
        <f>F497</f>
        <v>58823</v>
      </c>
      <c r="G496" s="743">
        <f t="shared" si="27"/>
        <v>0.9583727068330672</v>
      </c>
    </row>
    <row r="497" spans="1:7" s="694" customFormat="1" ht="28.5" customHeight="1">
      <c r="A497" s="733"/>
      <c r="B497" s="744"/>
      <c r="C497" s="716" t="s">
        <v>822</v>
      </c>
      <c r="D497" s="717">
        <v>257000</v>
      </c>
      <c r="E497" s="717">
        <v>61378</v>
      </c>
      <c r="F497" s="717">
        <v>58823</v>
      </c>
      <c r="G497" s="718">
        <f t="shared" si="27"/>
        <v>0.9583727068330672</v>
      </c>
    </row>
    <row r="498" spans="1:7" s="694" customFormat="1" ht="19.5" customHeight="1">
      <c r="A498" s="733"/>
      <c r="B498" s="711">
        <v>85333</v>
      </c>
      <c r="C498" s="773" t="s">
        <v>528</v>
      </c>
      <c r="D498" s="712">
        <f>SUM(D499:D501)</f>
        <v>1752000</v>
      </c>
      <c r="E498" s="712">
        <f>SUM(E499:E501)</f>
        <v>1829572</v>
      </c>
      <c r="F498" s="712">
        <f>SUM(F499:F501)</f>
        <v>1829572</v>
      </c>
      <c r="G498" s="713">
        <f t="shared" si="27"/>
        <v>1</v>
      </c>
    </row>
    <row r="499" spans="1:7" s="694" customFormat="1" ht="18.75" customHeight="1">
      <c r="A499" s="733"/>
      <c r="B499" s="733"/>
      <c r="C499" s="802" t="s">
        <v>650</v>
      </c>
      <c r="D499" s="726">
        <v>1186140</v>
      </c>
      <c r="E499" s="726">
        <v>1250012</v>
      </c>
      <c r="F499" s="726">
        <v>1250012</v>
      </c>
      <c r="G499" s="737">
        <f t="shared" si="27"/>
        <v>1</v>
      </c>
    </row>
    <row r="500" spans="1:7" s="694" customFormat="1" ht="18.75" customHeight="1">
      <c r="A500" s="733"/>
      <c r="B500" s="733"/>
      <c r="C500" s="810" t="s">
        <v>651</v>
      </c>
      <c r="D500" s="727">
        <v>324860</v>
      </c>
      <c r="E500" s="727">
        <v>346554</v>
      </c>
      <c r="F500" s="727">
        <v>346554</v>
      </c>
      <c r="G500" s="728">
        <f t="shared" si="27"/>
        <v>1</v>
      </c>
    </row>
    <row r="501" spans="1:7" s="694" customFormat="1" ht="18.75" customHeight="1">
      <c r="A501" s="733"/>
      <c r="B501" s="738"/>
      <c r="C501" s="815" t="s">
        <v>652</v>
      </c>
      <c r="D501" s="739">
        <v>241000</v>
      </c>
      <c r="E501" s="739">
        <v>233006</v>
      </c>
      <c r="F501" s="739">
        <v>233006</v>
      </c>
      <c r="G501" s="740">
        <f t="shared" si="27"/>
        <v>1</v>
      </c>
    </row>
    <row r="502" spans="1:7" s="694" customFormat="1" ht="19.5" customHeight="1">
      <c r="A502" s="733"/>
      <c r="B502" s="741">
        <v>85334</v>
      </c>
      <c r="C502" s="741" t="s">
        <v>486</v>
      </c>
      <c r="D502" s="742"/>
      <c r="E502" s="742">
        <f>E503</f>
        <v>92871</v>
      </c>
      <c r="F502" s="742">
        <f>F503</f>
        <v>92867</v>
      </c>
      <c r="G502" s="743">
        <v>0.9999</v>
      </c>
    </row>
    <row r="503" spans="1:7" s="694" customFormat="1" ht="19.5" customHeight="1">
      <c r="A503" s="738"/>
      <c r="B503" s="738"/>
      <c r="C503" s="738" t="s">
        <v>806</v>
      </c>
      <c r="D503" s="739"/>
      <c r="E503" s="739">
        <v>92871</v>
      </c>
      <c r="F503" s="739">
        <v>92867</v>
      </c>
      <c r="G503" s="740">
        <v>0.9999</v>
      </c>
    </row>
    <row r="504" spans="1:7" ht="19.5" customHeight="1">
      <c r="A504" s="869"/>
      <c r="B504" s="869"/>
      <c r="C504" s="869"/>
      <c r="D504" s="869"/>
      <c r="E504" s="869"/>
      <c r="F504" s="869"/>
      <c r="G504" s="681"/>
    </row>
    <row r="505" spans="1:7" ht="19.5" customHeight="1">
      <c r="A505" s="869"/>
      <c r="B505" s="869"/>
      <c r="C505" s="869"/>
      <c r="D505" s="869"/>
      <c r="E505" s="869"/>
      <c r="F505" s="1980" t="s">
        <v>449</v>
      </c>
      <c r="G505" s="681"/>
    </row>
    <row r="506" spans="1:7" ht="19.5" customHeight="1">
      <c r="A506" s="869"/>
      <c r="B506" s="869"/>
      <c r="C506" s="869"/>
      <c r="D506" s="869"/>
      <c r="E506" s="869"/>
      <c r="F506" s="1980" t="s">
        <v>450</v>
      </c>
      <c r="G506" s="681"/>
    </row>
    <row r="507" spans="1:7" ht="19.5" customHeight="1">
      <c r="A507" s="869"/>
      <c r="B507" s="869"/>
      <c r="C507" s="869"/>
      <c r="D507" s="869"/>
      <c r="E507" s="869"/>
      <c r="F507" s="1980" t="s">
        <v>451</v>
      </c>
      <c r="G507" s="681"/>
    </row>
    <row r="508" spans="1:7" ht="19.5" customHeight="1">
      <c r="A508" s="869"/>
      <c r="B508" s="869"/>
      <c r="C508" s="869"/>
      <c r="D508" s="869"/>
      <c r="E508" s="869"/>
      <c r="F508" s="869"/>
      <c r="G508" s="681"/>
    </row>
    <row r="509" spans="1:7" ht="19.5" customHeight="1">
      <c r="A509" s="869"/>
      <c r="B509" s="869"/>
      <c r="C509" s="869"/>
      <c r="D509" s="869"/>
      <c r="E509" s="869"/>
      <c r="F509" s="869"/>
      <c r="G509" s="681"/>
    </row>
    <row r="510" spans="1:7" ht="19.5" customHeight="1">
      <c r="A510" s="869"/>
      <c r="B510" s="869"/>
      <c r="C510" s="869"/>
      <c r="D510" s="869"/>
      <c r="E510" s="869"/>
      <c r="F510" s="869"/>
      <c r="G510" s="681"/>
    </row>
    <row r="511" spans="1:7" ht="19.5" customHeight="1">
      <c r="A511" s="869"/>
      <c r="B511" s="869"/>
      <c r="C511" s="869"/>
      <c r="D511" s="869"/>
      <c r="E511" s="869"/>
      <c r="F511" s="869"/>
      <c r="G511" s="681"/>
    </row>
    <row r="512" spans="1:7" ht="19.5" customHeight="1">
      <c r="A512" s="869"/>
      <c r="B512" s="869"/>
      <c r="C512" s="869"/>
      <c r="D512" s="869"/>
      <c r="E512" s="869"/>
      <c r="F512" s="869"/>
      <c r="G512" s="681"/>
    </row>
    <row r="513" spans="1:7" ht="19.5" customHeight="1">
      <c r="A513" s="869"/>
      <c r="B513" s="869"/>
      <c r="C513" s="869"/>
      <c r="D513" s="869"/>
      <c r="E513" s="869"/>
      <c r="F513" s="869"/>
      <c r="G513" s="681"/>
    </row>
    <row r="514" spans="1:7" ht="19.5" customHeight="1">
      <c r="A514" s="869"/>
      <c r="B514" s="869"/>
      <c r="C514" s="869"/>
      <c r="D514" s="869"/>
      <c r="E514" s="869"/>
      <c r="F514" s="869"/>
      <c r="G514" s="681"/>
    </row>
    <row r="515" spans="1:7" ht="19.5" customHeight="1">
      <c r="A515" s="869"/>
      <c r="B515" s="869"/>
      <c r="C515" s="869"/>
      <c r="D515" s="869"/>
      <c r="E515" s="869"/>
      <c r="F515" s="869"/>
      <c r="G515" s="681"/>
    </row>
    <row r="516" spans="1:7" ht="19.5" customHeight="1">
      <c r="A516" s="869"/>
      <c r="B516" s="869"/>
      <c r="C516" s="869"/>
      <c r="D516" s="869"/>
      <c r="E516" s="869"/>
      <c r="F516" s="869"/>
      <c r="G516" s="681"/>
    </row>
    <row r="517" spans="1:7" ht="19.5" customHeight="1">
      <c r="A517" s="869"/>
      <c r="B517" s="869"/>
      <c r="C517" s="869"/>
      <c r="D517" s="869"/>
      <c r="E517" s="869"/>
      <c r="F517" s="869"/>
      <c r="G517" s="681"/>
    </row>
    <row r="518" spans="1:7" ht="19.5" customHeight="1">
      <c r="A518" s="869"/>
      <c r="B518" s="869"/>
      <c r="C518" s="869"/>
      <c r="D518" s="869"/>
      <c r="E518" s="869"/>
      <c r="F518" s="869"/>
      <c r="G518" s="681"/>
    </row>
    <row r="519" spans="1:7" ht="19.5" customHeight="1">
      <c r="A519" s="869"/>
      <c r="B519" s="869"/>
      <c r="C519" s="869"/>
      <c r="D519" s="869"/>
      <c r="E519" s="869"/>
      <c r="F519" s="869"/>
      <c r="G519" s="681"/>
    </row>
    <row r="520" spans="1:7" ht="19.5" customHeight="1">
      <c r="A520" s="869"/>
      <c r="B520" s="869"/>
      <c r="C520" s="869"/>
      <c r="D520" s="869"/>
      <c r="E520" s="869"/>
      <c r="F520" s="869"/>
      <c r="G520" s="681"/>
    </row>
    <row r="521" spans="1:7" ht="19.5" customHeight="1">
      <c r="A521" s="869"/>
      <c r="B521" s="869"/>
      <c r="C521" s="869"/>
      <c r="D521" s="869"/>
      <c r="E521" s="869"/>
      <c r="F521" s="869"/>
      <c r="G521" s="681"/>
    </row>
    <row r="522" spans="1:7" ht="19.5" customHeight="1">
      <c r="A522" s="869"/>
      <c r="B522" s="869"/>
      <c r="C522" s="869"/>
      <c r="D522" s="869"/>
      <c r="E522" s="869"/>
      <c r="F522" s="869"/>
      <c r="G522" s="681"/>
    </row>
    <row r="523" spans="1:7" ht="19.5" customHeight="1">
      <c r="A523" s="869"/>
      <c r="B523" s="869"/>
      <c r="C523" s="869"/>
      <c r="D523" s="869"/>
      <c r="E523" s="869"/>
      <c r="F523" s="869"/>
      <c r="G523" s="681"/>
    </row>
    <row r="524" spans="1:7" ht="19.5" customHeight="1">
      <c r="A524" s="869"/>
      <c r="B524" s="869"/>
      <c r="C524" s="869"/>
      <c r="D524" s="869"/>
      <c r="E524" s="869"/>
      <c r="F524" s="869"/>
      <c r="G524" s="681"/>
    </row>
    <row r="525" spans="1:7" ht="19.5" customHeight="1">
      <c r="A525" s="869"/>
      <c r="B525" s="869"/>
      <c r="C525" s="869"/>
      <c r="D525" s="869"/>
      <c r="E525" s="869"/>
      <c r="F525" s="869"/>
      <c r="G525" s="681"/>
    </row>
    <row r="526" spans="1:7" ht="19.5" customHeight="1">
      <c r="A526" s="869"/>
      <c r="B526" s="869"/>
      <c r="C526" s="869"/>
      <c r="D526" s="869"/>
      <c r="E526" s="869"/>
      <c r="F526" s="869"/>
      <c r="G526" s="681"/>
    </row>
    <row r="527" spans="1:7" ht="19.5" customHeight="1">
      <c r="A527" s="869"/>
      <c r="B527" s="869"/>
      <c r="C527" s="869"/>
      <c r="D527" s="869"/>
      <c r="E527" s="869"/>
      <c r="F527" s="869"/>
      <c r="G527" s="681"/>
    </row>
    <row r="528" spans="1:7" ht="19.5" customHeight="1">
      <c r="A528" s="869"/>
      <c r="B528" s="869"/>
      <c r="C528" s="869"/>
      <c r="D528" s="869"/>
      <c r="E528" s="869"/>
      <c r="F528" s="869"/>
      <c r="G528" s="681"/>
    </row>
    <row r="529" spans="1:7" ht="19.5" customHeight="1">
      <c r="A529" s="869"/>
      <c r="B529" s="869"/>
      <c r="C529" s="869"/>
      <c r="D529" s="869"/>
      <c r="E529" s="869"/>
      <c r="F529" s="869"/>
      <c r="G529" s="681"/>
    </row>
    <row r="530" spans="1:7" ht="19.5" customHeight="1">
      <c r="A530" s="869"/>
      <c r="B530" s="869"/>
      <c r="C530" s="869"/>
      <c r="D530" s="869"/>
      <c r="E530" s="869"/>
      <c r="F530" s="869"/>
      <c r="G530" s="681"/>
    </row>
    <row r="531" spans="1:7" ht="19.5" customHeight="1">
      <c r="A531" s="869"/>
      <c r="B531" s="869"/>
      <c r="C531" s="869"/>
      <c r="D531" s="869"/>
      <c r="E531" s="869"/>
      <c r="F531" s="869"/>
      <c r="G531" s="681"/>
    </row>
    <row r="532" spans="1:7" ht="19.5" customHeight="1">
      <c r="A532" s="869"/>
      <c r="B532" s="869"/>
      <c r="C532" s="869"/>
      <c r="D532" s="869"/>
      <c r="E532" s="869"/>
      <c r="F532" s="869"/>
      <c r="G532" s="681"/>
    </row>
    <row r="533" spans="1:7" ht="19.5" customHeight="1">
      <c r="A533" s="869"/>
      <c r="B533" s="869"/>
      <c r="C533" s="869"/>
      <c r="D533" s="869"/>
      <c r="E533" s="869"/>
      <c r="F533" s="869"/>
      <c r="G533" s="681"/>
    </row>
    <row r="534" spans="1:7" ht="19.5" customHeight="1">
      <c r="A534" s="869"/>
      <c r="B534" s="869"/>
      <c r="C534" s="869"/>
      <c r="D534" s="869"/>
      <c r="E534" s="869"/>
      <c r="F534" s="869"/>
      <c r="G534" s="681"/>
    </row>
    <row r="535" spans="1:7" ht="19.5" customHeight="1">
      <c r="A535" s="869"/>
      <c r="B535" s="869"/>
      <c r="C535" s="869"/>
      <c r="D535" s="869"/>
      <c r="E535" s="869"/>
      <c r="F535" s="869"/>
      <c r="G535" s="681"/>
    </row>
    <row r="536" spans="1:7" ht="19.5" customHeight="1">
      <c r="A536" s="869"/>
      <c r="B536" s="869"/>
      <c r="C536" s="869"/>
      <c r="D536" s="869"/>
      <c r="E536" s="869"/>
      <c r="F536" s="869"/>
      <c r="G536" s="681"/>
    </row>
    <row r="537" spans="1:7" ht="19.5" customHeight="1">
      <c r="A537" s="869"/>
      <c r="B537" s="869"/>
      <c r="C537" s="869"/>
      <c r="D537" s="869"/>
      <c r="E537" s="869"/>
      <c r="F537" s="869"/>
      <c r="G537" s="681"/>
    </row>
    <row r="538" spans="1:7" ht="19.5" customHeight="1">
      <c r="A538" s="869"/>
      <c r="B538" s="869"/>
      <c r="C538" s="869"/>
      <c r="D538" s="869"/>
      <c r="E538" s="869"/>
      <c r="F538" s="869"/>
      <c r="G538" s="681"/>
    </row>
    <row r="539" spans="1:7" ht="19.5" customHeight="1">
      <c r="A539" s="869"/>
      <c r="B539" s="869"/>
      <c r="C539" s="869"/>
      <c r="D539" s="869"/>
      <c r="E539" s="869"/>
      <c r="F539" s="869"/>
      <c r="G539" s="681"/>
    </row>
    <row r="540" spans="1:7" ht="19.5" customHeight="1">
      <c r="A540" s="869"/>
      <c r="B540" s="869"/>
      <c r="C540" s="869"/>
      <c r="D540" s="869"/>
      <c r="E540" s="869"/>
      <c r="F540" s="869"/>
      <c r="G540" s="681"/>
    </row>
    <row r="541" spans="1:7" ht="19.5" customHeight="1">
      <c r="A541" s="869"/>
      <c r="B541" s="869"/>
      <c r="C541" s="869"/>
      <c r="D541" s="869"/>
      <c r="E541" s="869"/>
      <c r="F541" s="869"/>
      <c r="G541" s="681"/>
    </row>
    <row r="542" spans="1:7" ht="19.5" customHeight="1">
      <c r="A542" s="869"/>
      <c r="B542" s="869"/>
      <c r="C542" s="869"/>
      <c r="D542" s="869"/>
      <c r="E542" s="869"/>
      <c r="F542" s="869"/>
      <c r="G542" s="681"/>
    </row>
    <row r="543" spans="1:7" ht="19.5" customHeight="1">
      <c r="A543" s="869"/>
      <c r="B543" s="869"/>
      <c r="C543" s="869"/>
      <c r="D543" s="869"/>
      <c r="E543" s="869"/>
      <c r="F543" s="869"/>
      <c r="G543" s="681"/>
    </row>
    <row r="544" spans="1:7" ht="19.5" customHeight="1">
      <c r="A544" s="869"/>
      <c r="B544" s="869"/>
      <c r="C544" s="869"/>
      <c r="D544" s="869"/>
      <c r="E544" s="869"/>
      <c r="F544" s="869"/>
      <c r="G544" s="681"/>
    </row>
    <row r="545" spans="1:7" ht="19.5" customHeight="1">
      <c r="A545" s="869"/>
      <c r="B545" s="869"/>
      <c r="C545" s="869"/>
      <c r="D545" s="869"/>
      <c r="E545" s="869"/>
      <c r="F545" s="869"/>
      <c r="G545" s="681"/>
    </row>
    <row r="546" spans="1:7" ht="19.5" customHeight="1">
      <c r="A546" s="869"/>
      <c r="B546" s="869"/>
      <c r="C546" s="869"/>
      <c r="D546" s="869"/>
      <c r="E546" s="869"/>
      <c r="F546" s="869"/>
      <c r="G546" s="681"/>
    </row>
    <row r="547" spans="1:7" ht="19.5" customHeight="1">
      <c r="A547" s="869"/>
      <c r="B547" s="869"/>
      <c r="C547" s="869"/>
      <c r="D547" s="869"/>
      <c r="E547" s="869"/>
      <c r="F547" s="869"/>
      <c r="G547" s="681"/>
    </row>
    <row r="548" spans="1:7" ht="19.5" customHeight="1">
      <c r="A548" s="869"/>
      <c r="B548" s="869"/>
      <c r="C548" s="869"/>
      <c r="D548" s="869"/>
      <c r="E548" s="869"/>
      <c r="F548" s="869"/>
      <c r="G548" s="681"/>
    </row>
    <row r="549" spans="1:7" ht="19.5" customHeight="1">
      <c r="A549" s="869"/>
      <c r="B549" s="869"/>
      <c r="C549" s="869"/>
      <c r="D549" s="869"/>
      <c r="E549" s="869"/>
      <c r="F549" s="869"/>
      <c r="G549" s="681"/>
    </row>
    <row r="550" spans="1:7" ht="19.5" customHeight="1">
      <c r="A550" s="869"/>
      <c r="B550" s="869"/>
      <c r="C550" s="869"/>
      <c r="D550" s="869"/>
      <c r="E550" s="869"/>
      <c r="F550" s="869"/>
      <c r="G550" s="681"/>
    </row>
    <row r="551" spans="1:7" ht="19.5" customHeight="1">
      <c r="A551" s="869"/>
      <c r="B551" s="869"/>
      <c r="C551" s="869"/>
      <c r="D551" s="869"/>
      <c r="E551" s="869"/>
      <c r="F551" s="869"/>
      <c r="G551" s="681"/>
    </row>
    <row r="552" spans="1:7" ht="19.5" customHeight="1">
      <c r="A552" s="869"/>
      <c r="B552" s="869"/>
      <c r="C552" s="869"/>
      <c r="D552" s="869"/>
      <c r="E552" s="869"/>
      <c r="F552" s="869"/>
      <c r="G552" s="681"/>
    </row>
    <row r="553" spans="1:7" ht="19.5" customHeight="1">
      <c r="A553" s="869"/>
      <c r="B553" s="869"/>
      <c r="C553" s="869"/>
      <c r="D553" s="869"/>
      <c r="E553" s="869"/>
      <c r="F553" s="869"/>
      <c r="G553" s="681"/>
    </row>
    <row r="554" spans="1:7" ht="30" customHeight="1">
      <c r="A554" s="869"/>
      <c r="B554" s="869"/>
      <c r="C554" s="869"/>
      <c r="D554" s="869"/>
      <c r="E554" s="869"/>
      <c r="F554" s="869"/>
      <c r="G554" s="681"/>
    </row>
    <row r="555" spans="1:7" ht="30" customHeight="1">
      <c r="A555" s="869"/>
      <c r="B555" s="869"/>
      <c r="C555" s="869"/>
      <c r="D555" s="869"/>
      <c r="E555" s="869"/>
      <c r="F555" s="869"/>
      <c r="G555" s="681"/>
    </row>
    <row r="556" spans="1:7" ht="30" customHeight="1">
      <c r="A556" s="869"/>
      <c r="B556" s="869"/>
      <c r="C556" s="869"/>
      <c r="D556" s="869"/>
      <c r="E556" s="869"/>
      <c r="F556" s="869"/>
      <c r="G556" s="681"/>
    </row>
    <row r="557" spans="1:7" ht="30" customHeight="1">
      <c r="A557" s="869"/>
      <c r="B557" s="869"/>
      <c r="C557" s="869"/>
      <c r="D557" s="869"/>
      <c r="E557" s="869"/>
      <c r="F557" s="869"/>
      <c r="G557" s="681"/>
    </row>
    <row r="558" spans="1:7" ht="30" customHeight="1">
      <c r="A558" s="869"/>
      <c r="B558" s="869"/>
      <c r="C558" s="869"/>
      <c r="D558" s="869"/>
      <c r="E558" s="869"/>
      <c r="F558" s="869"/>
      <c r="G558" s="681"/>
    </row>
    <row r="559" spans="1:7" ht="30" customHeight="1">
      <c r="A559" s="869"/>
      <c r="B559" s="869"/>
      <c r="C559" s="869"/>
      <c r="D559" s="869"/>
      <c r="E559" s="869"/>
      <c r="F559" s="869"/>
      <c r="G559" s="681"/>
    </row>
    <row r="560" spans="1:7" ht="30" customHeight="1">
      <c r="A560" s="869"/>
      <c r="B560" s="869"/>
      <c r="C560" s="869"/>
      <c r="D560" s="869"/>
      <c r="E560" s="869"/>
      <c r="F560" s="869"/>
      <c r="G560" s="681"/>
    </row>
    <row r="561" spans="1:7" ht="30" customHeight="1">
      <c r="A561" s="869"/>
      <c r="B561" s="869"/>
      <c r="C561" s="869"/>
      <c r="D561" s="869"/>
      <c r="E561" s="869"/>
      <c r="F561" s="869"/>
      <c r="G561" s="681"/>
    </row>
    <row r="562" spans="1:7" ht="30" customHeight="1">
      <c r="A562" s="869"/>
      <c r="B562" s="869"/>
      <c r="C562" s="869"/>
      <c r="D562" s="869"/>
      <c r="E562" s="869"/>
      <c r="F562" s="869"/>
      <c r="G562" s="681"/>
    </row>
    <row r="563" spans="1:7" ht="30" customHeight="1">
      <c r="A563" s="869"/>
      <c r="B563" s="869"/>
      <c r="C563" s="869"/>
      <c r="D563" s="869"/>
      <c r="E563" s="869"/>
      <c r="F563" s="869"/>
      <c r="G563" s="681"/>
    </row>
    <row r="564" spans="1:7" ht="30" customHeight="1">
      <c r="A564" s="869"/>
      <c r="B564" s="869"/>
      <c r="C564" s="869"/>
      <c r="D564" s="869"/>
      <c r="E564" s="869"/>
      <c r="F564" s="869"/>
      <c r="G564" s="681"/>
    </row>
    <row r="565" spans="1:7" ht="30" customHeight="1">
      <c r="A565" s="869"/>
      <c r="B565" s="869"/>
      <c r="C565" s="869"/>
      <c r="D565" s="869"/>
      <c r="E565" s="869"/>
      <c r="F565" s="869"/>
      <c r="G565" s="681"/>
    </row>
    <row r="566" spans="1:7" ht="33" customHeight="1">
      <c r="A566" s="869"/>
      <c r="B566" s="869"/>
      <c r="C566" s="869"/>
      <c r="D566" s="869"/>
      <c r="E566" s="869"/>
      <c r="F566" s="869"/>
      <c r="G566" s="681"/>
    </row>
    <row r="567" spans="1:7" ht="29.25" customHeight="1">
      <c r="A567" s="869"/>
      <c r="B567" s="869"/>
      <c r="C567" s="869"/>
      <c r="D567" s="869"/>
      <c r="E567" s="869"/>
      <c r="F567" s="869"/>
      <c r="G567" s="681"/>
    </row>
    <row r="568" spans="1:7" ht="23.25" customHeight="1">
      <c r="A568" s="869"/>
      <c r="B568" s="869"/>
      <c r="C568" s="869"/>
      <c r="D568" s="869"/>
      <c r="E568" s="869"/>
      <c r="F568" s="869"/>
      <c r="G568" s="681"/>
    </row>
    <row r="569" spans="1:7" ht="33.75" customHeight="1">
      <c r="A569" s="869"/>
      <c r="B569" s="869"/>
      <c r="C569" s="869"/>
      <c r="D569" s="869"/>
      <c r="E569" s="869"/>
      <c r="F569" s="869"/>
      <c r="G569" s="681"/>
    </row>
    <row r="570" spans="1:7" ht="33" customHeight="1">
      <c r="A570" s="869"/>
      <c r="B570" s="869"/>
      <c r="C570" s="869"/>
      <c r="D570" s="869"/>
      <c r="E570" s="869"/>
      <c r="F570" s="869"/>
      <c r="G570" s="681"/>
    </row>
    <row r="571" spans="1:7" ht="30" customHeight="1">
      <c r="A571" s="869"/>
      <c r="B571" s="869"/>
      <c r="C571" s="869"/>
      <c r="D571" s="869"/>
      <c r="E571" s="869"/>
      <c r="F571" s="869"/>
      <c r="G571" s="681"/>
    </row>
    <row r="572" spans="1:7" ht="30" customHeight="1">
      <c r="A572" s="869"/>
      <c r="B572" s="869"/>
      <c r="C572" s="869"/>
      <c r="D572" s="869"/>
      <c r="E572" s="869"/>
      <c r="F572" s="869"/>
      <c r="G572" s="681"/>
    </row>
    <row r="573" spans="1:7" ht="31.5" customHeight="1">
      <c r="A573" s="869"/>
      <c r="B573" s="869"/>
      <c r="C573" s="869"/>
      <c r="D573" s="869"/>
      <c r="E573" s="869"/>
      <c r="F573" s="869"/>
      <c r="G573" s="681"/>
    </row>
    <row r="574" spans="1:7" ht="33.75" customHeight="1">
      <c r="A574" s="869"/>
      <c r="B574" s="869"/>
      <c r="C574" s="869"/>
      <c r="D574" s="869"/>
      <c r="E574" s="869"/>
      <c r="F574" s="869"/>
      <c r="G574" s="681"/>
    </row>
    <row r="575" spans="1:7" ht="30" customHeight="1">
      <c r="A575" s="869"/>
      <c r="B575" s="869"/>
      <c r="C575" s="869"/>
      <c r="D575" s="869"/>
      <c r="E575" s="869"/>
      <c r="F575" s="869"/>
      <c r="G575" s="681"/>
    </row>
    <row r="576" spans="1:7" ht="30" customHeight="1">
      <c r="A576" s="869"/>
      <c r="B576" s="869"/>
      <c r="C576" s="869"/>
      <c r="D576" s="869"/>
      <c r="E576" s="869"/>
      <c r="F576" s="869"/>
      <c r="G576" s="681"/>
    </row>
    <row r="577" spans="1:7" ht="33.75" customHeight="1">
      <c r="A577" s="869"/>
      <c r="B577" s="869"/>
      <c r="C577" s="869"/>
      <c r="D577" s="678"/>
      <c r="E577" s="678"/>
      <c r="F577" s="678"/>
      <c r="G577" s="681"/>
    </row>
    <row r="578" spans="1:7" ht="30" customHeight="1">
      <c r="A578" s="869"/>
      <c r="B578" s="869"/>
      <c r="C578" s="869"/>
      <c r="D578" s="678"/>
      <c r="E578" s="678"/>
      <c r="F578" s="678"/>
      <c r="G578" s="681"/>
    </row>
    <row r="579" ht="39.75" customHeight="1"/>
    <row r="580" ht="47.25" customHeight="1"/>
    <row r="581" ht="35.25" customHeight="1"/>
    <row r="582" ht="35.25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48.75" customHeight="1"/>
    <row r="600" ht="48.75" customHeight="1"/>
    <row r="601" ht="48.75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106.5" customHeight="1"/>
    <row r="619" ht="77.25" customHeight="1"/>
    <row r="620" ht="30" customHeight="1"/>
    <row r="621" ht="28.5" customHeight="1"/>
    <row r="622" ht="30" customHeight="1"/>
    <row r="623" ht="21.75" customHeight="1"/>
    <row r="624" ht="30" customHeight="1"/>
    <row r="625" ht="30" customHeight="1"/>
    <row r="626" ht="27.75" customHeight="1"/>
    <row r="627" ht="33" customHeight="1"/>
    <row r="628" ht="32.25" customHeight="1"/>
    <row r="629" ht="21" customHeight="1"/>
    <row r="630" ht="30" customHeight="1"/>
    <row r="631" ht="24" customHeight="1"/>
    <row r="632" ht="24.75" customHeight="1"/>
    <row r="633" ht="24.75" customHeight="1"/>
    <row r="634" ht="26.25" customHeight="1"/>
    <row r="635" ht="24" customHeight="1"/>
    <row r="636" ht="24" customHeight="1"/>
    <row r="637" ht="24.75" customHeight="1"/>
    <row r="638" ht="33.75" customHeight="1"/>
    <row r="639" ht="33.75" customHeight="1"/>
    <row r="640" ht="39.75" customHeight="1"/>
    <row r="641" spans="1:7" s="870" customFormat="1" ht="21.75" customHeight="1">
      <c r="A641" s="676"/>
      <c r="B641" s="676"/>
      <c r="C641" s="676"/>
      <c r="D641" s="677"/>
      <c r="E641" s="677"/>
      <c r="F641" s="677"/>
      <c r="G641" s="679"/>
    </row>
    <row r="642" ht="24.75" customHeight="1"/>
    <row r="643" ht="49.5" customHeight="1"/>
    <row r="644" ht="30.75" customHeight="1"/>
    <row r="645" ht="27.75" customHeight="1"/>
  </sheetData>
  <mergeCells count="5">
    <mergeCell ref="G7:G9"/>
    <mergeCell ref="C7:C8"/>
    <mergeCell ref="D7:D9"/>
    <mergeCell ref="E7:E9"/>
    <mergeCell ref="F7:F9"/>
  </mergeCells>
  <printOptions horizontalCentered="1"/>
  <pageMargins left="0.5905511811023623" right="0.5905511811023623" top="0.6692913385826772" bottom="0.6692913385826772" header="0.5118110236220472" footer="0.4724409448818898"/>
  <pageSetup firstPageNumber="23" useFirstPageNumber="1" horizontalDpi="300" verticalDpi="300" orientation="landscape" paperSize="9" scale="90" r:id="rId2"/>
  <headerFooter alignWithMargins="0">
    <oddHeader>&amp;L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="75" zoomScaleNormal="75" workbookViewId="0" topLeftCell="A1">
      <selection activeCell="G24" sqref="G24:G26"/>
    </sheetView>
  </sheetViews>
  <sheetFormatPr defaultColWidth="9.00390625" defaultRowHeight="12.75"/>
  <cols>
    <col min="1" max="1" width="7.375" style="694" customWidth="1"/>
    <col min="2" max="2" width="68.125" style="694" customWidth="1"/>
    <col min="3" max="3" width="13.875" style="694" bestFit="1" customWidth="1"/>
    <col min="4" max="4" width="13.25390625" style="694" customWidth="1"/>
    <col min="5" max="5" width="15.00390625" style="694" customWidth="1"/>
    <col min="6" max="6" width="13.125" style="694" bestFit="1" customWidth="1"/>
    <col min="7" max="7" width="13.125" style="694" customWidth="1"/>
    <col min="8" max="8" width="15.375" style="694" customWidth="1"/>
    <col min="9" max="9" width="13.125" style="694" bestFit="1" customWidth="1"/>
    <col min="10" max="10" width="11.625" style="694" bestFit="1" customWidth="1"/>
    <col min="11" max="11" width="12.125" style="694" bestFit="1" customWidth="1"/>
    <col min="12" max="16384" width="9.125" style="694" customWidth="1"/>
  </cols>
  <sheetData>
    <row r="1" spans="2:8" ht="14.25">
      <c r="B1" s="871"/>
      <c r="F1" s="872"/>
      <c r="G1" s="873" t="s">
        <v>823</v>
      </c>
      <c r="H1" s="872"/>
    </row>
    <row r="2" spans="2:8" ht="18" customHeight="1">
      <c r="B2" s="874" t="s">
        <v>824</v>
      </c>
      <c r="C2" s="872"/>
      <c r="D2" s="872"/>
      <c r="E2" s="872"/>
      <c r="F2" s="872"/>
      <c r="G2" s="3" t="s">
        <v>977</v>
      </c>
      <c r="H2" s="872"/>
    </row>
    <row r="3" spans="2:8" ht="18" customHeight="1">
      <c r="B3" s="875"/>
      <c r="C3" s="876"/>
      <c r="D3" s="876"/>
      <c r="E3" s="876"/>
      <c r="G3" s="11" t="s">
        <v>292</v>
      </c>
      <c r="H3" s="876"/>
    </row>
    <row r="4" spans="2:8" ht="13.5" customHeight="1">
      <c r="B4" s="877"/>
      <c r="C4" s="876"/>
      <c r="D4" s="876"/>
      <c r="E4" s="876"/>
      <c r="F4" s="876"/>
      <c r="G4" s="11" t="s">
        <v>978</v>
      </c>
      <c r="H4" s="876"/>
    </row>
    <row r="5" ht="18" customHeight="1">
      <c r="B5" s="877"/>
    </row>
    <row r="6" spans="1:8" ht="15" thickBot="1">
      <c r="A6" s="878"/>
      <c r="B6" s="734"/>
      <c r="C6" s="734"/>
      <c r="D6" s="734"/>
      <c r="E6" s="734"/>
      <c r="F6" s="734"/>
      <c r="H6" s="879" t="s">
        <v>297</v>
      </c>
    </row>
    <row r="7" spans="1:8" ht="68.25" customHeight="1" thickBot="1" thickTop="1">
      <c r="A7" s="880" t="s">
        <v>607</v>
      </c>
      <c r="B7" s="881" t="s">
        <v>603</v>
      </c>
      <c r="C7" s="882" t="s">
        <v>825</v>
      </c>
      <c r="D7" s="882" t="s">
        <v>826</v>
      </c>
      <c r="E7" s="882" t="s">
        <v>827</v>
      </c>
      <c r="F7" s="882" t="s">
        <v>828</v>
      </c>
      <c r="G7" s="882" t="s">
        <v>829</v>
      </c>
      <c r="H7" s="883" t="s">
        <v>830</v>
      </c>
    </row>
    <row r="8" spans="1:8" ht="14.25" customHeight="1" thickBot="1" thickTop="1">
      <c r="A8" s="884">
        <v>1</v>
      </c>
      <c r="B8" s="885">
        <v>2</v>
      </c>
      <c r="C8" s="884">
        <v>3</v>
      </c>
      <c r="D8" s="884">
        <v>4</v>
      </c>
      <c r="E8" s="884">
        <v>5</v>
      </c>
      <c r="F8" s="884">
        <v>6</v>
      </c>
      <c r="G8" s="884">
        <v>7</v>
      </c>
      <c r="H8" s="884">
        <v>8</v>
      </c>
    </row>
    <row r="9" spans="1:10" ht="21.75" customHeight="1" thickTop="1">
      <c r="A9" s="886"/>
      <c r="B9" s="887" t="s">
        <v>831</v>
      </c>
      <c r="C9" s="888">
        <f aca="true" t="shared" si="0" ref="C9:H9">C10+C12+C14+C16+C18+C20</f>
        <v>39768000</v>
      </c>
      <c r="D9" s="888">
        <f t="shared" si="0"/>
        <v>41361000</v>
      </c>
      <c r="E9" s="888">
        <f t="shared" si="0"/>
        <v>37946000</v>
      </c>
      <c r="F9" s="888">
        <f t="shared" si="0"/>
        <v>18883000</v>
      </c>
      <c r="G9" s="889">
        <f t="shared" si="0"/>
        <v>18983000</v>
      </c>
      <c r="H9" s="889">
        <f t="shared" si="0"/>
        <v>18937108</v>
      </c>
      <c r="I9" s="695"/>
      <c r="J9" s="695"/>
    </row>
    <row r="10" spans="1:13" s="869" customFormat="1" ht="19.5" customHeight="1">
      <c r="A10" s="741">
        <v>957</v>
      </c>
      <c r="B10" s="741" t="s">
        <v>832</v>
      </c>
      <c r="C10" s="742">
        <f>C11</f>
        <v>1500000</v>
      </c>
      <c r="D10" s="742"/>
      <c r="E10" s="742"/>
      <c r="F10" s="739"/>
      <c r="G10" s="739"/>
      <c r="H10" s="742"/>
      <c r="J10" s="890"/>
      <c r="K10" s="891"/>
      <c r="L10" s="891"/>
      <c r="M10" s="891"/>
    </row>
    <row r="11" spans="1:8" s="869" customFormat="1" ht="27.75" customHeight="1">
      <c r="A11" s="744"/>
      <c r="B11" s="758" t="s">
        <v>833</v>
      </c>
      <c r="C11" s="739">
        <v>1500000</v>
      </c>
      <c r="D11" s="739"/>
      <c r="E11" s="739"/>
      <c r="F11" s="739"/>
      <c r="G11" s="739"/>
      <c r="H11" s="739"/>
    </row>
    <row r="12" spans="1:8" s="869" customFormat="1" ht="19.5" customHeight="1">
      <c r="A12" s="711">
        <v>931</v>
      </c>
      <c r="B12" s="741" t="s">
        <v>834</v>
      </c>
      <c r="C12" s="742">
        <f>C13</f>
        <v>30000000</v>
      </c>
      <c r="D12" s="742">
        <f>D13</f>
        <v>30000000</v>
      </c>
      <c r="E12" s="742">
        <f>E13</f>
        <v>30000000</v>
      </c>
      <c r="F12" s="742"/>
      <c r="G12" s="742"/>
      <c r="H12" s="742"/>
    </row>
    <row r="13" spans="1:8" s="869" customFormat="1" ht="19.5" customHeight="1">
      <c r="A13" s="744"/>
      <c r="B13" s="738" t="s">
        <v>835</v>
      </c>
      <c r="C13" s="739">
        <v>30000000</v>
      </c>
      <c r="D13" s="739">
        <v>30000000</v>
      </c>
      <c r="E13" s="739">
        <v>30000000</v>
      </c>
      <c r="F13" s="742"/>
      <c r="G13" s="742"/>
      <c r="H13" s="739"/>
    </row>
    <row r="14" spans="1:13" s="869" customFormat="1" ht="19.5" customHeight="1">
      <c r="A14" s="711">
        <v>982</v>
      </c>
      <c r="B14" s="741" t="s">
        <v>836</v>
      </c>
      <c r="C14" s="742"/>
      <c r="D14" s="742"/>
      <c r="E14" s="742"/>
      <c r="F14" s="742">
        <f>F15</f>
        <v>16000000</v>
      </c>
      <c r="G14" s="742">
        <f>G15</f>
        <v>16000000</v>
      </c>
      <c r="H14" s="742">
        <f>H15</f>
        <v>16000000</v>
      </c>
      <c r="J14" s="891"/>
      <c r="K14" s="891"/>
      <c r="L14" s="891"/>
      <c r="M14" s="891"/>
    </row>
    <row r="15" spans="1:8" s="869" customFormat="1" ht="19.5" customHeight="1">
      <c r="A15" s="744"/>
      <c r="B15" s="758" t="s">
        <v>837</v>
      </c>
      <c r="C15" s="739"/>
      <c r="D15" s="739"/>
      <c r="E15" s="739"/>
      <c r="F15" s="739">
        <v>16000000</v>
      </c>
      <c r="G15" s="739">
        <v>16000000</v>
      </c>
      <c r="H15" s="739">
        <v>16000000</v>
      </c>
    </row>
    <row r="16" spans="1:8" s="869" customFormat="1" ht="19.5" customHeight="1">
      <c r="A16" s="711">
        <v>952</v>
      </c>
      <c r="B16" s="741" t="s">
        <v>838</v>
      </c>
      <c r="C16" s="742">
        <f>C17</f>
        <v>4768000</v>
      </c>
      <c r="D16" s="742">
        <f>D17</f>
        <v>7861000</v>
      </c>
      <c r="E16" s="742">
        <f>E17</f>
        <v>7946000</v>
      </c>
      <c r="F16" s="742"/>
      <c r="G16" s="742"/>
      <c r="H16" s="742"/>
    </row>
    <row r="17" spans="1:8" s="869" customFormat="1" ht="19.5" customHeight="1">
      <c r="A17" s="744"/>
      <c r="B17" s="738" t="s">
        <v>839</v>
      </c>
      <c r="C17" s="739">
        <v>4768000</v>
      </c>
      <c r="D17" s="739">
        <v>7861000</v>
      </c>
      <c r="E17" s="739">
        <v>7946000</v>
      </c>
      <c r="F17" s="742"/>
      <c r="G17" s="742"/>
      <c r="H17" s="739"/>
    </row>
    <row r="18" spans="1:8" s="869" customFormat="1" ht="19.5" customHeight="1">
      <c r="A18" s="711">
        <v>992</v>
      </c>
      <c r="B18" s="741" t="s">
        <v>840</v>
      </c>
      <c r="C18" s="742"/>
      <c r="D18" s="742"/>
      <c r="E18" s="742"/>
      <c r="F18" s="742">
        <f>SUM(F19:F19)</f>
        <v>2883000</v>
      </c>
      <c r="G18" s="742">
        <f>SUM(G19:G19)</f>
        <v>2983000</v>
      </c>
      <c r="H18" s="742">
        <f>SUM(H19:H19)</f>
        <v>2937108</v>
      </c>
    </row>
    <row r="19" spans="1:8" s="869" customFormat="1" ht="19.5" customHeight="1">
      <c r="A19" s="744"/>
      <c r="B19" s="892" t="s">
        <v>841</v>
      </c>
      <c r="C19" s="749"/>
      <c r="D19" s="749"/>
      <c r="E19" s="749"/>
      <c r="F19" s="749">
        <v>2883000</v>
      </c>
      <c r="G19" s="749">
        <v>2983000</v>
      </c>
      <c r="H19" s="749">
        <v>2937108</v>
      </c>
    </row>
    <row r="20" spans="1:13" s="869" customFormat="1" ht="43.5" customHeight="1">
      <c r="A20" s="711">
        <v>943</v>
      </c>
      <c r="B20" s="773" t="s">
        <v>842</v>
      </c>
      <c r="C20" s="893">
        <f>C21</f>
        <v>3500000</v>
      </c>
      <c r="D20" s="893">
        <f>D21</f>
        <v>3500000</v>
      </c>
      <c r="E20" s="893"/>
      <c r="F20" s="893"/>
      <c r="G20" s="893"/>
      <c r="H20" s="893"/>
      <c r="J20" s="894"/>
      <c r="K20" s="894"/>
      <c r="L20" s="894"/>
      <c r="M20" s="894"/>
    </row>
    <row r="21" spans="1:13" s="869" customFormat="1" ht="27" customHeight="1">
      <c r="A21" s="786"/>
      <c r="B21" s="716" t="s">
        <v>843</v>
      </c>
      <c r="C21" s="895">
        <v>3500000</v>
      </c>
      <c r="D21" s="895">
        <v>3500000</v>
      </c>
      <c r="E21" s="895"/>
      <c r="F21" s="893"/>
      <c r="G21" s="893"/>
      <c r="H21" s="895"/>
      <c r="I21" s="896"/>
      <c r="J21" s="894"/>
      <c r="K21" s="894"/>
      <c r="L21" s="894"/>
      <c r="M21" s="894"/>
    </row>
    <row r="22" spans="1:9" ht="7.5" customHeight="1">
      <c r="A22" s="897"/>
      <c r="B22" s="897"/>
      <c r="C22" s="897"/>
      <c r="D22" s="897"/>
      <c r="E22" s="897"/>
      <c r="F22" s="897"/>
      <c r="G22" s="897"/>
      <c r="H22" s="897"/>
      <c r="I22" s="734"/>
    </row>
    <row r="23" spans="1:10" ht="15.75" customHeight="1">
      <c r="A23" s="734"/>
      <c r="B23" s="898"/>
      <c r="C23" s="734"/>
      <c r="D23" s="734"/>
      <c r="E23" s="734"/>
      <c r="F23" s="734"/>
      <c r="G23" s="734"/>
      <c r="H23" s="734"/>
      <c r="I23" s="899"/>
      <c r="J23" s="734"/>
    </row>
    <row r="24" spans="1:9" ht="18.75" customHeight="1">
      <c r="A24"/>
      <c r="B24" s="900"/>
      <c r="C24"/>
      <c r="D24"/>
      <c r="E24"/>
      <c r="F24"/>
      <c r="G24" s="1980" t="s">
        <v>449</v>
      </c>
      <c r="H24"/>
      <c r="I24" s="901"/>
    </row>
    <row r="25" ht="12.75">
      <c r="G25" s="1980" t="s">
        <v>450</v>
      </c>
    </row>
    <row r="26" ht="12.75">
      <c r="G26" s="1980" t="s">
        <v>451</v>
      </c>
    </row>
    <row r="27" ht="18.75" customHeight="1"/>
  </sheetData>
  <printOptions horizontalCentered="1"/>
  <pageMargins left="0.5905511811023623" right="0.5905511811023623" top="0.7086614173228347" bottom="0.6692913385826772" header="0.5118110236220472" footer="0.5118110236220472"/>
  <pageSetup firstPageNumber="43" useFirstPageNumber="1" horizontalDpi="300" verticalDpi="300" orientation="landscape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V182"/>
  <sheetViews>
    <sheetView zoomScale="75" zoomScaleNormal="75" zoomScaleSheetLayoutView="75" workbookViewId="0" topLeftCell="A1">
      <selection activeCell="O180" sqref="O180:O182"/>
    </sheetView>
  </sheetViews>
  <sheetFormatPr defaultColWidth="9.00390625" defaultRowHeight="12.75"/>
  <cols>
    <col min="1" max="1" width="6.25390625" style="902" customWidth="1"/>
    <col min="2" max="2" width="7.75390625" style="902" customWidth="1"/>
    <col min="3" max="3" width="41.00390625" style="0" customWidth="1"/>
    <col min="4" max="4" width="15.75390625" style="0" customWidth="1"/>
    <col min="5" max="7" width="15.75390625" style="0" hidden="1" customWidth="1"/>
    <col min="8" max="8" width="15.25390625" style="0" customWidth="1"/>
    <col min="9" max="9" width="15.125" style="0" customWidth="1"/>
    <col min="10" max="10" width="14.75390625" style="0" customWidth="1"/>
    <col min="11" max="11" width="14.625" style="0" customWidth="1"/>
    <col min="12" max="12" width="14.875" style="0" customWidth="1"/>
    <col min="13" max="13" width="15.00390625" style="0" customWidth="1"/>
    <col min="14" max="14" width="14.75390625" style="0" customWidth="1"/>
    <col min="15" max="15" width="15.00390625" style="0" customWidth="1"/>
    <col min="16" max="17" width="14.00390625" style="0" customWidth="1"/>
  </cols>
  <sheetData>
    <row r="1" spans="5:13" ht="18">
      <c r="E1" s="903"/>
      <c r="I1" s="903"/>
      <c r="M1" s="903"/>
    </row>
    <row r="2" spans="1:14" s="680" customFormat="1" ht="18" customHeight="1">
      <c r="A2" s="904"/>
      <c r="B2" s="905" t="s">
        <v>844</v>
      </c>
      <c r="C2" s="676"/>
      <c r="E2" s="903"/>
      <c r="I2" s="903"/>
      <c r="M2" s="903"/>
      <c r="N2" s="903" t="s">
        <v>845</v>
      </c>
    </row>
    <row r="3" spans="5:14" ht="18" customHeight="1">
      <c r="E3" s="903"/>
      <c r="I3" s="903"/>
      <c r="M3" s="903"/>
      <c r="N3" s="1931" t="s">
        <v>977</v>
      </c>
    </row>
    <row r="4" spans="5:14" ht="18" customHeight="1">
      <c r="E4" s="903"/>
      <c r="I4" s="903"/>
      <c r="M4" s="903"/>
      <c r="N4" s="1932" t="s">
        <v>292</v>
      </c>
    </row>
    <row r="5" spans="5:14" ht="18" customHeight="1">
      <c r="E5" s="676"/>
      <c r="I5" s="676"/>
      <c r="M5" s="676"/>
      <c r="N5" s="1932" t="s">
        <v>978</v>
      </c>
    </row>
    <row r="6" spans="6:17" ht="26.25" customHeight="1" thickBot="1">
      <c r="F6" s="694"/>
      <c r="G6" s="694" t="s">
        <v>297</v>
      </c>
      <c r="J6" s="694"/>
      <c r="K6" s="694"/>
      <c r="N6" s="694"/>
      <c r="O6" s="694"/>
      <c r="Q6" s="879" t="s">
        <v>297</v>
      </c>
    </row>
    <row r="7" spans="1:17" s="914" customFormat="1" ht="21.75" customHeight="1" thickBot="1" thickTop="1">
      <c r="A7" s="906"/>
      <c r="B7" s="906"/>
      <c r="C7" s="907"/>
      <c r="D7" s="1954" t="s">
        <v>846</v>
      </c>
      <c r="E7" s="908" t="s">
        <v>308</v>
      </c>
      <c r="F7" s="908"/>
      <c r="G7" s="909"/>
      <c r="H7" s="1951" t="s">
        <v>847</v>
      </c>
      <c r="I7" s="910" t="s">
        <v>308</v>
      </c>
      <c r="J7" s="911"/>
      <c r="K7" s="912"/>
      <c r="L7" s="1951" t="s">
        <v>848</v>
      </c>
      <c r="M7" s="910" t="s">
        <v>308</v>
      </c>
      <c r="N7" s="911"/>
      <c r="O7" s="912"/>
      <c r="P7" s="913"/>
      <c r="Q7" s="913"/>
    </row>
    <row r="8" spans="1:17" ht="21.75" customHeight="1" thickTop="1">
      <c r="A8" s="915" t="s">
        <v>303</v>
      </c>
      <c r="B8" s="915" t="s">
        <v>607</v>
      </c>
      <c r="C8" s="916" t="s">
        <v>849</v>
      </c>
      <c r="D8" s="1955"/>
      <c r="E8" s="917" t="s">
        <v>850</v>
      </c>
      <c r="F8" s="918" t="s">
        <v>851</v>
      </c>
      <c r="G8" s="919" t="s">
        <v>852</v>
      </c>
      <c r="H8" s="1952"/>
      <c r="I8" s="1949" t="s">
        <v>853</v>
      </c>
      <c r="J8" s="1957" t="s">
        <v>854</v>
      </c>
      <c r="K8" s="1959" t="s">
        <v>855</v>
      </c>
      <c r="L8" s="1952"/>
      <c r="M8" s="1949" t="s">
        <v>853</v>
      </c>
      <c r="N8" s="1957" t="s">
        <v>856</v>
      </c>
      <c r="O8" s="1959" t="s">
        <v>855</v>
      </c>
      <c r="P8" s="1952" t="s">
        <v>857</v>
      </c>
      <c r="Q8" s="1952" t="s">
        <v>858</v>
      </c>
    </row>
    <row r="9" spans="1:17" ht="21.75" customHeight="1">
      <c r="A9" s="920"/>
      <c r="B9" s="920"/>
      <c r="C9" s="916" t="s">
        <v>859</v>
      </c>
      <c r="D9" s="1955"/>
      <c r="E9" s="921" t="s">
        <v>860</v>
      </c>
      <c r="F9" s="922" t="s">
        <v>861</v>
      </c>
      <c r="G9" s="923" t="s">
        <v>862</v>
      </c>
      <c r="H9" s="1952"/>
      <c r="I9" s="1949"/>
      <c r="J9" s="1957"/>
      <c r="K9" s="1959"/>
      <c r="L9" s="1952"/>
      <c r="M9" s="1949"/>
      <c r="N9" s="1957"/>
      <c r="O9" s="1959"/>
      <c r="P9" s="1961"/>
      <c r="Q9" s="1952"/>
    </row>
    <row r="10" spans="1:17" ht="17.25" customHeight="1" thickBot="1">
      <c r="A10" s="924"/>
      <c r="B10" s="924"/>
      <c r="C10" s="925"/>
      <c r="D10" s="1956"/>
      <c r="E10" s="926" t="s">
        <v>863</v>
      </c>
      <c r="F10" s="927" t="s">
        <v>864</v>
      </c>
      <c r="G10" s="928" t="s">
        <v>865</v>
      </c>
      <c r="H10" s="1953"/>
      <c r="I10" s="1950"/>
      <c r="J10" s="1958"/>
      <c r="K10" s="1960"/>
      <c r="L10" s="1953"/>
      <c r="M10" s="1950"/>
      <c r="N10" s="1958"/>
      <c r="O10" s="1960"/>
      <c r="P10" s="1962"/>
      <c r="Q10" s="1953"/>
    </row>
    <row r="11" spans="1:17" s="932" customFormat="1" ht="13.5" thickBot="1" thickTop="1">
      <c r="A11" s="930">
        <v>1</v>
      </c>
      <c r="B11" s="930">
        <v>2</v>
      </c>
      <c r="C11" s="931">
        <v>3</v>
      </c>
      <c r="D11" s="931">
        <v>4</v>
      </c>
      <c r="E11" s="931"/>
      <c r="F11" s="931"/>
      <c r="G11" s="931"/>
      <c r="H11" s="931">
        <v>5</v>
      </c>
      <c r="I11" s="931">
        <v>6</v>
      </c>
      <c r="J11" s="931">
        <v>7</v>
      </c>
      <c r="K11" s="931">
        <v>8</v>
      </c>
      <c r="L11" s="931">
        <v>9</v>
      </c>
      <c r="M11" s="931">
        <v>10</v>
      </c>
      <c r="N11" s="931">
        <v>11</v>
      </c>
      <c r="O11" s="931">
        <v>12</v>
      </c>
      <c r="P11" s="931">
        <v>13</v>
      </c>
      <c r="Q11" s="931">
        <v>14</v>
      </c>
    </row>
    <row r="12" spans="1:17" s="940" customFormat="1" ht="24" customHeight="1" thickBot="1" thickTop="1">
      <c r="A12" s="933"/>
      <c r="B12" s="933"/>
      <c r="C12" s="934" t="s">
        <v>866</v>
      </c>
      <c r="D12" s="935">
        <f>E12+F12+G12</f>
        <v>53780000</v>
      </c>
      <c r="E12" s="936">
        <f>E14+E162+E155</f>
        <v>20519000</v>
      </c>
      <c r="F12" s="935">
        <f>F14+F162</f>
        <v>32450000</v>
      </c>
      <c r="G12" s="937">
        <f>G14+G162</f>
        <v>811000</v>
      </c>
      <c r="H12" s="935">
        <f>I12+J12+K12</f>
        <v>64207373</v>
      </c>
      <c r="I12" s="936">
        <f>I14+I162+I155</f>
        <v>23077797</v>
      </c>
      <c r="J12" s="936">
        <f>J14+J162+J155</f>
        <v>35261997</v>
      </c>
      <c r="K12" s="936">
        <f>K14+K162+K155</f>
        <v>5867579</v>
      </c>
      <c r="L12" s="938">
        <f>SUM(M12:O12)</f>
        <v>59112148</v>
      </c>
      <c r="M12" s="935">
        <f>M14+M155+M162</f>
        <v>19067231</v>
      </c>
      <c r="N12" s="935">
        <f>N14+N155+N162</f>
        <v>34662683</v>
      </c>
      <c r="O12" s="935">
        <f>O14+O155+O162</f>
        <v>5382234</v>
      </c>
      <c r="P12" s="939">
        <f>L12/H12</f>
        <v>0.9206442381624926</v>
      </c>
      <c r="Q12" s="939">
        <f>M12/I12</f>
        <v>0.8262153878899273</v>
      </c>
    </row>
    <row r="13" spans="1:17" s="950" customFormat="1" ht="15" customHeight="1">
      <c r="A13" s="941"/>
      <c r="B13" s="941"/>
      <c r="C13" s="942" t="s">
        <v>308</v>
      </c>
      <c r="D13" s="943"/>
      <c r="E13" s="944"/>
      <c r="F13" s="943"/>
      <c r="G13" s="945"/>
      <c r="H13" s="943"/>
      <c r="I13" s="946"/>
      <c r="J13" s="947"/>
      <c r="K13" s="947"/>
      <c r="L13" s="948"/>
      <c r="M13" s="946"/>
      <c r="N13" s="947"/>
      <c r="O13" s="947"/>
      <c r="P13" s="949"/>
      <c r="Q13" s="949"/>
    </row>
    <row r="14" spans="1:17" s="957" customFormat="1" ht="21.75" customHeight="1" thickBot="1">
      <c r="A14" s="951"/>
      <c r="B14" s="951"/>
      <c r="C14" s="952" t="s">
        <v>610</v>
      </c>
      <c r="D14" s="953">
        <f aca="true" t="shared" si="0" ref="D14:D54">E14+F14+G14</f>
        <v>53490000</v>
      </c>
      <c r="E14" s="954">
        <f>E15+E48+E58+E62+E71+E91+E97+E103+E112+E134+E146</f>
        <v>20384000</v>
      </c>
      <c r="F14" s="953">
        <f>F15+F48+F58+F62+F71+F91+F97+F103+F112+F134+F146</f>
        <v>32450000</v>
      </c>
      <c r="G14" s="952">
        <f>G15+G48+G58+G62+G71+G91+G97+G103+G112+G134+G146</f>
        <v>656000</v>
      </c>
      <c r="H14" s="953">
        <f aca="true" t="shared" si="1" ref="H14:H56">I14+J14+K14</f>
        <v>64002373</v>
      </c>
      <c r="I14" s="954">
        <f>I15+I48+I58+I62+I71+I91+I97+I103+I112+I134+I146+I55</f>
        <v>23077797</v>
      </c>
      <c r="J14" s="953">
        <f>J15+J48+J58+J62+J71+J91+J97+J103+J112+J134+J146</f>
        <v>35235997</v>
      </c>
      <c r="K14" s="953">
        <f>K15+K48+K58+K62+K71+K91+K97+K103+K112+K134+K146</f>
        <v>5688579</v>
      </c>
      <c r="L14" s="955">
        <f aca="true" t="shared" si="2" ref="L14:L35">SUM(M14:O14)</f>
        <v>58987233</v>
      </c>
      <c r="M14" s="954">
        <f>M15+M48+M58+M62+M71+M91+M97+M103+M112+M134+M146+M55</f>
        <v>19067231</v>
      </c>
      <c r="N14" s="954">
        <f>N15+N48+N58+N62+N71+N91+N97+N103+N112+N134+N146</f>
        <v>34636683</v>
      </c>
      <c r="O14" s="954">
        <f>O15+O48+O58+O62+O71+O91+O97+O103+O112+O134+O146</f>
        <v>5283319</v>
      </c>
      <c r="P14" s="956">
        <f aca="true" t="shared" si="3" ref="P14:Q16">L14/H14</f>
        <v>0.9216413428920831</v>
      </c>
      <c r="Q14" s="956">
        <f t="shared" si="3"/>
        <v>0.8262153878899273</v>
      </c>
    </row>
    <row r="15" spans="1:17" s="964" customFormat="1" ht="20.25" customHeight="1" thickTop="1">
      <c r="A15" s="958">
        <v>600</v>
      </c>
      <c r="B15" s="958"/>
      <c r="C15" s="959" t="s">
        <v>434</v>
      </c>
      <c r="D15" s="960">
        <f t="shared" si="0"/>
        <v>23110000</v>
      </c>
      <c r="E15" s="961">
        <f>E16+E35</f>
        <v>110000</v>
      </c>
      <c r="F15" s="960">
        <f>F16+F35</f>
        <v>23000000</v>
      </c>
      <c r="G15" s="959"/>
      <c r="H15" s="960">
        <f t="shared" si="1"/>
        <v>26083518</v>
      </c>
      <c r="I15" s="961">
        <f>I16+I35</f>
        <v>587549</v>
      </c>
      <c r="J15" s="960">
        <f>J16+J35</f>
        <v>20495969</v>
      </c>
      <c r="K15" s="960">
        <f>K16+K35</f>
        <v>5000000</v>
      </c>
      <c r="L15" s="962">
        <f t="shared" si="2"/>
        <v>25600653</v>
      </c>
      <c r="M15" s="961">
        <f>M16+M35</f>
        <v>497472</v>
      </c>
      <c r="N15" s="960">
        <f>N16+N35</f>
        <v>20103181</v>
      </c>
      <c r="O15" s="960">
        <f>O16+O35</f>
        <v>5000000</v>
      </c>
      <c r="P15" s="963">
        <f t="shared" si="3"/>
        <v>0.981487734898337</v>
      </c>
      <c r="Q15" s="963">
        <f t="shared" si="3"/>
        <v>0.846690233495419</v>
      </c>
    </row>
    <row r="16" spans="1:17" s="957" customFormat="1" ht="28.5" customHeight="1">
      <c r="A16" s="965"/>
      <c r="B16" s="966">
        <v>60015</v>
      </c>
      <c r="C16" s="967" t="s">
        <v>547</v>
      </c>
      <c r="D16" s="968">
        <f t="shared" si="0"/>
        <v>19211000</v>
      </c>
      <c r="E16" s="969">
        <f>SUM(E17:E34)</f>
        <v>10000</v>
      </c>
      <c r="F16" s="968">
        <f>SUM(F17:F34)</f>
        <v>19201000</v>
      </c>
      <c r="G16" s="970"/>
      <c r="H16" s="968">
        <f t="shared" si="1"/>
        <v>23720767</v>
      </c>
      <c r="I16" s="969">
        <f>SUM(I17:I34)</f>
        <v>487549</v>
      </c>
      <c r="J16" s="968">
        <f>SUM(J17:J34)</f>
        <v>18350399</v>
      </c>
      <c r="K16" s="968">
        <f>SUM(K17:K34)</f>
        <v>4882819</v>
      </c>
      <c r="L16" s="971">
        <f t="shared" si="2"/>
        <v>23237905</v>
      </c>
      <c r="M16" s="968">
        <f>SUM(M17:M34)</f>
        <v>397475</v>
      </c>
      <c r="N16" s="968">
        <f>SUM(N17:N34)</f>
        <v>17957611</v>
      </c>
      <c r="O16" s="968">
        <f>SUM(O17:O34)</f>
        <v>4882819</v>
      </c>
      <c r="P16" s="972">
        <f t="shared" si="3"/>
        <v>0.9796439128633573</v>
      </c>
      <c r="Q16" s="972">
        <f t="shared" si="3"/>
        <v>0.8152513901166857</v>
      </c>
    </row>
    <row r="17" spans="1:17" s="964" customFormat="1" ht="19.5" customHeight="1">
      <c r="A17" s="941"/>
      <c r="B17" s="973"/>
      <c r="C17" s="974" t="s">
        <v>867</v>
      </c>
      <c r="D17" s="975">
        <f t="shared" si="0"/>
        <v>3571000</v>
      </c>
      <c r="E17" s="976"/>
      <c r="F17" s="977">
        <f>1071000+2500000</f>
        <v>3571000</v>
      </c>
      <c r="G17" s="978"/>
      <c r="H17" s="975">
        <f t="shared" si="1"/>
        <v>3576971</v>
      </c>
      <c r="I17" s="976"/>
      <c r="J17" s="977">
        <v>3576971</v>
      </c>
      <c r="K17" s="977"/>
      <c r="L17" s="979">
        <f t="shared" si="2"/>
        <v>3184183</v>
      </c>
      <c r="M17" s="976"/>
      <c r="N17" s="977">
        <v>3184183</v>
      </c>
      <c r="O17" s="977"/>
      <c r="P17" s="980">
        <f aca="true" t="shared" si="4" ref="P17:P34">L17/H17</f>
        <v>0.890189772296169</v>
      </c>
      <c r="Q17" s="981"/>
    </row>
    <row r="18" spans="1:17" s="964" customFormat="1" ht="19.5" customHeight="1">
      <c r="A18" s="941"/>
      <c r="B18" s="941"/>
      <c r="C18" s="982" t="s">
        <v>868</v>
      </c>
      <c r="D18" s="975">
        <f t="shared" si="0"/>
        <v>3600000</v>
      </c>
      <c r="E18" s="983"/>
      <c r="F18" s="984">
        <v>3600000</v>
      </c>
      <c r="G18" s="982"/>
      <c r="H18" s="975">
        <f t="shared" si="1"/>
        <v>3329503</v>
      </c>
      <c r="I18" s="983"/>
      <c r="J18" s="984">
        <v>3329503</v>
      </c>
      <c r="K18" s="984"/>
      <c r="L18" s="979">
        <f t="shared" si="2"/>
        <v>3329503</v>
      </c>
      <c r="M18" s="983"/>
      <c r="N18" s="984">
        <v>3329503</v>
      </c>
      <c r="O18" s="984"/>
      <c r="P18" s="985">
        <f t="shared" si="4"/>
        <v>1</v>
      </c>
      <c r="Q18" s="985"/>
    </row>
    <row r="19" spans="1:17" s="964" customFormat="1" ht="72.75" customHeight="1">
      <c r="A19" s="941"/>
      <c r="B19" s="941"/>
      <c r="C19" s="986" t="s">
        <v>869</v>
      </c>
      <c r="D19" s="975">
        <f t="shared" si="0"/>
        <v>2671200</v>
      </c>
      <c r="E19" s="987"/>
      <c r="F19" s="988">
        <v>2671200</v>
      </c>
      <c r="G19" s="989"/>
      <c r="H19" s="975">
        <f t="shared" si="1"/>
        <v>3235050</v>
      </c>
      <c r="I19" s="987"/>
      <c r="J19" s="988">
        <v>2496337</v>
      </c>
      <c r="K19" s="988">
        <v>738713</v>
      </c>
      <c r="L19" s="979">
        <f t="shared" si="2"/>
        <v>3235050</v>
      </c>
      <c r="M19" s="987"/>
      <c r="N19" s="988">
        <v>2496337</v>
      </c>
      <c r="O19" s="988">
        <v>738713</v>
      </c>
      <c r="P19" s="990">
        <f t="shared" si="4"/>
        <v>1</v>
      </c>
      <c r="Q19" s="990"/>
    </row>
    <row r="20" spans="1:17" s="964" customFormat="1" ht="20.25" customHeight="1">
      <c r="A20" s="941"/>
      <c r="B20" s="941"/>
      <c r="C20" s="989" t="s">
        <v>870</v>
      </c>
      <c r="D20" s="975">
        <f t="shared" si="0"/>
        <v>2540000</v>
      </c>
      <c r="E20" s="987"/>
      <c r="F20" s="988">
        <v>2540000</v>
      </c>
      <c r="G20" s="989"/>
      <c r="H20" s="975">
        <f t="shared" si="1"/>
        <v>3498945</v>
      </c>
      <c r="I20" s="987"/>
      <c r="J20" s="988">
        <v>3498945</v>
      </c>
      <c r="K20" s="988"/>
      <c r="L20" s="979">
        <f t="shared" si="2"/>
        <v>3498945</v>
      </c>
      <c r="M20" s="987"/>
      <c r="N20" s="988">
        <v>3498945</v>
      </c>
      <c r="O20" s="988"/>
      <c r="P20" s="990">
        <f t="shared" si="4"/>
        <v>1</v>
      </c>
      <c r="Q20" s="990"/>
    </row>
    <row r="21" spans="1:17" s="964" customFormat="1" ht="30" customHeight="1">
      <c r="A21" s="941"/>
      <c r="B21" s="941"/>
      <c r="C21" s="986" t="s">
        <v>871</v>
      </c>
      <c r="D21" s="975">
        <f t="shared" si="0"/>
        <v>1250000</v>
      </c>
      <c r="E21" s="987"/>
      <c r="F21" s="988">
        <v>1250000</v>
      </c>
      <c r="G21" s="989"/>
      <c r="H21" s="975">
        <f t="shared" si="1"/>
        <v>5250000</v>
      </c>
      <c r="I21" s="987"/>
      <c r="J21" s="988">
        <v>1250000</v>
      </c>
      <c r="K21" s="988">
        <v>4000000</v>
      </c>
      <c r="L21" s="979">
        <f t="shared" si="2"/>
        <v>5250000</v>
      </c>
      <c r="M21" s="987"/>
      <c r="N21" s="988">
        <v>1250000</v>
      </c>
      <c r="O21" s="988">
        <v>4000000</v>
      </c>
      <c r="P21" s="990">
        <f t="shared" si="4"/>
        <v>1</v>
      </c>
      <c r="Q21" s="990"/>
    </row>
    <row r="22" spans="1:17" s="964" customFormat="1" ht="27" customHeight="1">
      <c r="A22" s="941"/>
      <c r="B22" s="941"/>
      <c r="C22" s="986" t="s">
        <v>872</v>
      </c>
      <c r="D22" s="975">
        <f t="shared" si="0"/>
        <v>1158800</v>
      </c>
      <c r="E22" s="987"/>
      <c r="F22" s="988">
        <v>1158800</v>
      </c>
      <c r="G22" s="989"/>
      <c r="H22" s="975">
        <f t="shared" si="1"/>
        <v>857277</v>
      </c>
      <c r="I22" s="987"/>
      <c r="J22" s="988">
        <v>713171</v>
      </c>
      <c r="K22" s="988">
        <v>144106</v>
      </c>
      <c r="L22" s="979">
        <f t="shared" si="2"/>
        <v>857277</v>
      </c>
      <c r="M22" s="987"/>
      <c r="N22" s="988">
        <v>713171</v>
      </c>
      <c r="O22" s="988">
        <v>144106</v>
      </c>
      <c r="P22" s="990">
        <f t="shared" si="4"/>
        <v>1</v>
      </c>
      <c r="Q22" s="990"/>
    </row>
    <row r="23" spans="1:17" s="964" customFormat="1" ht="29.25" customHeight="1">
      <c r="A23" s="941"/>
      <c r="B23" s="941"/>
      <c r="C23" s="986" t="s">
        <v>873</v>
      </c>
      <c r="D23" s="975">
        <f t="shared" si="0"/>
        <v>1000000</v>
      </c>
      <c r="E23" s="987"/>
      <c r="F23" s="988">
        <v>1000000</v>
      </c>
      <c r="G23" s="989"/>
      <c r="H23" s="975">
        <f t="shared" si="1"/>
        <v>1000000</v>
      </c>
      <c r="I23" s="987"/>
      <c r="J23" s="988">
        <v>1000000</v>
      </c>
      <c r="K23" s="988"/>
      <c r="L23" s="979">
        <f t="shared" si="2"/>
        <v>1000000</v>
      </c>
      <c r="M23" s="987"/>
      <c r="N23" s="988">
        <v>1000000</v>
      </c>
      <c r="O23" s="988"/>
      <c r="P23" s="990">
        <f t="shared" si="4"/>
        <v>1</v>
      </c>
      <c r="Q23" s="990"/>
    </row>
    <row r="24" spans="1:17" s="964" customFormat="1" ht="42.75" customHeight="1">
      <c r="A24" s="941"/>
      <c r="B24" s="941"/>
      <c r="C24" s="986" t="s">
        <v>874</v>
      </c>
      <c r="D24" s="975">
        <f t="shared" si="0"/>
        <v>600000</v>
      </c>
      <c r="E24" s="987"/>
      <c r="F24" s="988">
        <v>600000</v>
      </c>
      <c r="G24" s="989"/>
      <c r="H24" s="975">
        <f t="shared" si="1"/>
        <v>539204</v>
      </c>
      <c r="I24" s="987"/>
      <c r="J24" s="988">
        <v>539204</v>
      </c>
      <c r="K24" s="988"/>
      <c r="L24" s="979">
        <f t="shared" si="2"/>
        <v>539204</v>
      </c>
      <c r="M24" s="987"/>
      <c r="N24" s="988">
        <v>539204</v>
      </c>
      <c r="O24" s="988"/>
      <c r="P24" s="990">
        <f t="shared" si="4"/>
        <v>1</v>
      </c>
      <c r="Q24" s="990"/>
    </row>
    <row r="25" spans="1:17" s="964" customFormat="1" ht="21" customHeight="1">
      <c r="A25" s="941"/>
      <c r="B25" s="941"/>
      <c r="C25" s="989" t="s">
        <v>875</v>
      </c>
      <c r="D25" s="975">
        <f t="shared" si="0"/>
        <v>500000</v>
      </c>
      <c r="E25" s="987"/>
      <c r="F25" s="988">
        <v>500000</v>
      </c>
      <c r="G25" s="989"/>
      <c r="H25" s="975">
        <f t="shared" si="1"/>
        <v>2498</v>
      </c>
      <c r="I25" s="987"/>
      <c r="J25" s="988">
        <v>2498</v>
      </c>
      <c r="K25" s="988"/>
      <c r="L25" s="979">
        <f t="shared" si="2"/>
        <v>2498</v>
      </c>
      <c r="M25" s="987"/>
      <c r="N25" s="988">
        <v>2498</v>
      </c>
      <c r="O25" s="988"/>
      <c r="P25" s="990">
        <f t="shared" si="4"/>
        <v>1</v>
      </c>
      <c r="Q25" s="990"/>
    </row>
    <row r="26" spans="1:17" s="964" customFormat="1" ht="21" customHeight="1">
      <c r="A26" s="941"/>
      <c r="B26" s="941"/>
      <c r="C26" s="982" t="s">
        <v>876</v>
      </c>
      <c r="D26" s="975">
        <f t="shared" si="0"/>
        <v>550000</v>
      </c>
      <c r="E26" s="983"/>
      <c r="F26" s="984">
        <v>550000</v>
      </c>
      <c r="G26" s="982"/>
      <c r="H26" s="975">
        <f t="shared" si="1"/>
        <v>1009454</v>
      </c>
      <c r="I26" s="983">
        <v>487549</v>
      </c>
      <c r="J26" s="984">
        <v>521905</v>
      </c>
      <c r="K26" s="984"/>
      <c r="L26" s="979">
        <f t="shared" si="2"/>
        <v>919380</v>
      </c>
      <c r="M26" s="983">
        <v>397475</v>
      </c>
      <c r="N26" s="984">
        <v>521905</v>
      </c>
      <c r="O26" s="984"/>
      <c r="P26" s="985">
        <f t="shared" si="4"/>
        <v>0.9107695843495592</v>
      </c>
      <c r="Q26" s="985">
        <f>M26/I26</f>
        <v>0.8152513901166857</v>
      </c>
    </row>
    <row r="27" spans="1:17" s="964" customFormat="1" ht="28.5" customHeight="1">
      <c r="A27" s="941"/>
      <c r="B27" s="941"/>
      <c r="C27" s="991" t="s">
        <v>877</v>
      </c>
      <c r="D27" s="975">
        <f t="shared" si="0"/>
        <v>400000</v>
      </c>
      <c r="E27" s="992"/>
      <c r="F27" s="975">
        <v>400000</v>
      </c>
      <c r="G27" s="993"/>
      <c r="H27" s="975">
        <f t="shared" si="1"/>
        <v>240046</v>
      </c>
      <c r="I27" s="992"/>
      <c r="J27" s="975">
        <v>240046</v>
      </c>
      <c r="K27" s="975"/>
      <c r="L27" s="979">
        <f t="shared" si="2"/>
        <v>240046</v>
      </c>
      <c r="M27" s="992"/>
      <c r="N27" s="975">
        <v>240046</v>
      </c>
      <c r="O27" s="975"/>
      <c r="P27" s="985">
        <f t="shared" si="4"/>
        <v>1</v>
      </c>
      <c r="Q27" s="994"/>
    </row>
    <row r="28" spans="1:17" s="964" customFormat="1" ht="27.75" customHeight="1">
      <c r="A28" s="941"/>
      <c r="B28" s="941"/>
      <c r="C28" s="986" t="s">
        <v>878</v>
      </c>
      <c r="D28" s="988">
        <f t="shared" si="0"/>
        <v>270000</v>
      </c>
      <c r="E28" s="987"/>
      <c r="F28" s="988">
        <v>270000</v>
      </c>
      <c r="G28" s="989"/>
      <c r="H28" s="988">
        <f t="shared" si="1"/>
        <v>394879</v>
      </c>
      <c r="I28" s="987"/>
      <c r="J28" s="988">
        <v>394879</v>
      </c>
      <c r="K28" s="995"/>
      <c r="L28" s="979">
        <f t="shared" si="2"/>
        <v>394879</v>
      </c>
      <c r="M28" s="987"/>
      <c r="N28" s="988">
        <v>394879</v>
      </c>
      <c r="O28" s="988"/>
      <c r="P28" s="990">
        <f t="shared" si="4"/>
        <v>1</v>
      </c>
      <c r="Q28" s="990"/>
    </row>
    <row r="29" spans="1:17" s="964" customFormat="1" ht="29.25" customHeight="1">
      <c r="A29" s="941"/>
      <c r="B29" s="941"/>
      <c r="C29" s="996" t="s">
        <v>879</v>
      </c>
      <c r="D29" s="947">
        <f t="shared" si="0"/>
        <v>200000</v>
      </c>
      <c r="E29" s="946"/>
      <c r="F29" s="947">
        <v>200000</v>
      </c>
      <c r="G29" s="942"/>
      <c r="H29" s="947">
        <f t="shared" si="1"/>
        <v>209180</v>
      </c>
      <c r="I29" s="946"/>
      <c r="J29" s="947">
        <v>209180</v>
      </c>
      <c r="K29" s="947"/>
      <c r="L29" s="979">
        <f t="shared" si="2"/>
        <v>209180</v>
      </c>
      <c r="M29" s="946"/>
      <c r="N29" s="947">
        <v>209180</v>
      </c>
      <c r="O29" s="947"/>
      <c r="P29" s="949">
        <f t="shared" si="4"/>
        <v>1</v>
      </c>
      <c r="Q29" s="949"/>
    </row>
    <row r="30" spans="1:17" s="964" customFormat="1" ht="28.5" customHeight="1">
      <c r="A30" s="941"/>
      <c r="B30" s="941"/>
      <c r="C30" s="986" t="s">
        <v>880</v>
      </c>
      <c r="D30" s="988">
        <f t="shared" si="0"/>
        <v>200000</v>
      </c>
      <c r="E30" s="987"/>
      <c r="F30" s="988">
        <v>200000</v>
      </c>
      <c r="G30" s="989"/>
      <c r="H30" s="988">
        <f t="shared" si="1"/>
        <v>92171</v>
      </c>
      <c r="I30" s="987"/>
      <c r="J30" s="988">
        <v>92171</v>
      </c>
      <c r="K30" s="988"/>
      <c r="L30" s="979">
        <f t="shared" si="2"/>
        <v>92171</v>
      </c>
      <c r="M30" s="987"/>
      <c r="N30" s="988">
        <v>92171</v>
      </c>
      <c r="O30" s="988"/>
      <c r="P30" s="990">
        <f t="shared" si="4"/>
        <v>1</v>
      </c>
      <c r="Q30" s="990"/>
    </row>
    <row r="31" spans="1:17" s="964" customFormat="1" ht="27.75" customHeight="1">
      <c r="A31" s="941"/>
      <c r="B31" s="941"/>
      <c r="C31" s="986" t="s">
        <v>881</v>
      </c>
      <c r="D31" s="988">
        <f t="shared" si="0"/>
        <v>200000</v>
      </c>
      <c r="E31" s="987"/>
      <c r="F31" s="988">
        <v>200000</v>
      </c>
      <c r="G31" s="989"/>
      <c r="H31" s="988">
        <f t="shared" si="1"/>
        <v>191357</v>
      </c>
      <c r="I31" s="987"/>
      <c r="J31" s="988">
        <v>191357</v>
      </c>
      <c r="K31" s="988"/>
      <c r="L31" s="997">
        <f t="shared" si="2"/>
        <v>191357</v>
      </c>
      <c r="M31" s="987"/>
      <c r="N31" s="988">
        <v>191357</v>
      </c>
      <c r="O31" s="988"/>
      <c r="P31" s="990">
        <f t="shared" si="4"/>
        <v>1</v>
      </c>
      <c r="Q31" s="990"/>
    </row>
    <row r="32" spans="1:17" s="964" customFormat="1" ht="41.25" customHeight="1">
      <c r="A32" s="998"/>
      <c r="B32" s="998"/>
      <c r="C32" s="999" t="s">
        <v>882</v>
      </c>
      <c r="D32" s="1000">
        <f t="shared" si="0"/>
        <v>100000</v>
      </c>
      <c r="E32" s="1001"/>
      <c r="F32" s="1000">
        <v>100000</v>
      </c>
      <c r="G32" s="1002"/>
      <c r="H32" s="1000">
        <f t="shared" si="1"/>
        <v>5983</v>
      </c>
      <c r="I32" s="1001"/>
      <c r="J32" s="1000">
        <v>5983</v>
      </c>
      <c r="K32" s="1000"/>
      <c r="L32" s="1003">
        <f t="shared" si="2"/>
        <v>5983</v>
      </c>
      <c r="M32" s="1001"/>
      <c r="N32" s="1000">
        <v>5983</v>
      </c>
      <c r="O32" s="1000"/>
      <c r="P32" s="1004">
        <f t="shared" si="4"/>
        <v>1</v>
      </c>
      <c r="Q32" s="1004"/>
    </row>
    <row r="33" spans="1:17" s="964" customFormat="1" ht="30" customHeight="1">
      <c r="A33" s="941"/>
      <c r="B33" s="941"/>
      <c r="C33" s="996" t="s">
        <v>883</v>
      </c>
      <c r="D33" s="947">
        <f t="shared" si="0"/>
        <v>370000</v>
      </c>
      <c r="E33" s="946">
        <v>10000</v>
      </c>
      <c r="F33" s="947">
        <v>360000</v>
      </c>
      <c r="G33" s="942"/>
      <c r="H33" s="947">
        <f t="shared" si="1"/>
        <v>276049</v>
      </c>
      <c r="I33" s="946"/>
      <c r="J33" s="947">
        <v>276049</v>
      </c>
      <c r="K33" s="947"/>
      <c r="L33" s="948">
        <f t="shared" si="2"/>
        <v>276049</v>
      </c>
      <c r="M33" s="946"/>
      <c r="N33" s="947">
        <v>276049</v>
      </c>
      <c r="O33" s="947"/>
      <c r="P33" s="949">
        <f t="shared" si="4"/>
        <v>1</v>
      </c>
      <c r="Q33" s="949"/>
    </row>
    <row r="34" spans="1:17" s="964" customFormat="1" ht="21" customHeight="1">
      <c r="A34" s="941"/>
      <c r="B34" s="941"/>
      <c r="C34" s="993" t="s">
        <v>884</v>
      </c>
      <c r="D34" s="975">
        <f t="shared" si="0"/>
        <v>30000</v>
      </c>
      <c r="E34" s="992"/>
      <c r="F34" s="975">
        <v>30000</v>
      </c>
      <c r="G34" s="993"/>
      <c r="H34" s="975">
        <f t="shared" si="1"/>
        <v>12200</v>
      </c>
      <c r="I34" s="992"/>
      <c r="J34" s="975">
        <v>12200</v>
      </c>
      <c r="K34" s="975"/>
      <c r="L34" s="979">
        <f t="shared" si="2"/>
        <v>12200</v>
      </c>
      <c r="M34" s="992"/>
      <c r="N34" s="975">
        <v>12200</v>
      </c>
      <c r="O34" s="975"/>
      <c r="P34" s="994">
        <f t="shared" si="4"/>
        <v>1</v>
      </c>
      <c r="Q34" s="994"/>
    </row>
    <row r="35" spans="1:17" s="957" customFormat="1" ht="21" customHeight="1">
      <c r="A35" s="965"/>
      <c r="B35" s="1005">
        <v>60016</v>
      </c>
      <c r="C35" s="970" t="s">
        <v>435</v>
      </c>
      <c r="D35" s="968">
        <f t="shared" si="0"/>
        <v>3899000</v>
      </c>
      <c r="E35" s="969">
        <f>SUM(E36:E47)</f>
        <v>100000</v>
      </c>
      <c r="F35" s="968">
        <f>SUM(F36:F47)</f>
        <v>3799000</v>
      </c>
      <c r="G35" s="970"/>
      <c r="H35" s="968">
        <f t="shared" si="1"/>
        <v>2362751</v>
      </c>
      <c r="I35" s="969">
        <f>SUM(I36:I47)</f>
        <v>100000</v>
      </c>
      <c r="J35" s="968">
        <f>SUM(J36:J47)</f>
        <v>2145570</v>
      </c>
      <c r="K35" s="968">
        <f>K39</f>
        <v>117181</v>
      </c>
      <c r="L35" s="971">
        <f t="shared" si="2"/>
        <v>2362748</v>
      </c>
      <c r="M35" s="968">
        <f>SUM(M36:M47)</f>
        <v>99997</v>
      </c>
      <c r="N35" s="968">
        <f>SUM(N36:N47)</f>
        <v>2145570</v>
      </c>
      <c r="O35" s="968">
        <f>SUM(O36:O47)</f>
        <v>117181</v>
      </c>
      <c r="P35" s="972">
        <v>0.9999</v>
      </c>
      <c r="Q35" s="972">
        <v>0.9999</v>
      </c>
    </row>
    <row r="36" spans="1:17" s="964" customFormat="1" ht="27.75" customHeight="1">
      <c r="A36" s="941"/>
      <c r="B36" s="973"/>
      <c r="C36" s="1006" t="s">
        <v>885</v>
      </c>
      <c r="D36" s="977">
        <f t="shared" si="0"/>
        <v>500000</v>
      </c>
      <c r="E36" s="976"/>
      <c r="F36" s="977">
        <v>500000</v>
      </c>
      <c r="G36" s="978"/>
      <c r="H36" s="977">
        <f t="shared" si="1"/>
        <v>14762</v>
      </c>
      <c r="I36" s="976"/>
      <c r="J36" s="977">
        <v>14762</v>
      </c>
      <c r="K36" s="977"/>
      <c r="L36" s="1007">
        <f>N36</f>
        <v>14762</v>
      </c>
      <c r="M36" s="976"/>
      <c r="N36" s="977">
        <v>14762</v>
      </c>
      <c r="O36" s="977"/>
      <c r="P36" s="985">
        <f aca="true" t="shared" si="5" ref="P36:P45">L36/H36</f>
        <v>1</v>
      </c>
      <c r="Q36" s="980"/>
    </row>
    <row r="37" spans="1:17" s="964" customFormat="1" ht="20.25" customHeight="1">
      <c r="A37" s="941"/>
      <c r="B37" s="941"/>
      <c r="C37" s="982" t="s">
        <v>886</v>
      </c>
      <c r="D37" s="984">
        <f t="shared" si="0"/>
        <v>712000</v>
      </c>
      <c r="E37" s="983"/>
      <c r="F37" s="984">
        <v>712000</v>
      </c>
      <c r="G37" s="982"/>
      <c r="H37" s="984">
        <f t="shared" si="1"/>
        <v>68611</v>
      </c>
      <c r="I37" s="983"/>
      <c r="J37" s="984">
        <v>68611</v>
      </c>
      <c r="K37" s="984"/>
      <c r="L37" s="1008">
        <f aca="true" t="shared" si="6" ref="L37:L59">SUM(M37:O37)</f>
        <v>68611</v>
      </c>
      <c r="M37" s="983"/>
      <c r="N37" s="984">
        <v>68611</v>
      </c>
      <c r="O37" s="984"/>
      <c r="P37" s="985">
        <f t="shared" si="5"/>
        <v>1</v>
      </c>
      <c r="Q37" s="985"/>
    </row>
    <row r="38" spans="1:17" s="964" customFormat="1" ht="19.5" customHeight="1">
      <c r="A38" s="941"/>
      <c r="B38" s="941"/>
      <c r="C38" s="1009" t="s">
        <v>887</v>
      </c>
      <c r="D38" s="988">
        <f t="shared" si="0"/>
        <v>578500</v>
      </c>
      <c r="E38" s="987"/>
      <c r="F38" s="988">
        <v>578500</v>
      </c>
      <c r="G38" s="989"/>
      <c r="H38" s="988">
        <f t="shared" si="1"/>
        <v>201239</v>
      </c>
      <c r="I38" s="987"/>
      <c r="J38" s="988">
        <v>201239</v>
      </c>
      <c r="K38" s="988"/>
      <c r="L38" s="1008">
        <f t="shared" si="6"/>
        <v>201239</v>
      </c>
      <c r="M38" s="987"/>
      <c r="N38" s="988">
        <v>201239</v>
      </c>
      <c r="O38" s="988"/>
      <c r="P38" s="990">
        <f t="shared" si="5"/>
        <v>1</v>
      </c>
      <c r="Q38" s="990"/>
    </row>
    <row r="39" spans="1:17" s="964" customFormat="1" ht="21.75" customHeight="1">
      <c r="A39" s="941"/>
      <c r="B39" s="941"/>
      <c r="C39" s="982" t="s">
        <v>888</v>
      </c>
      <c r="D39" s="988">
        <f t="shared" si="0"/>
        <v>445300</v>
      </c>
      <c r="E39" s="987"/>
      <c r="F39" s="988">
        <v>445300</v>
      </c>
      <c r="G39" s="989"/>
      <c r="H39" s="988">
        <f t="shared" si="1"/>
        <v>660972</v>
      </c>
      <c r="I39" s="987"/>
      <c r="J39" s="988">
        <v>543791</v>
      </c>
      <c r="K39" s="988">
        <v>117181</v>
      </c>
      <c r="L39" s="1008">
        <f t="shared" si="6"/>
        <v>660972</v>
      </c>
      <c r="M39" s="987"/>
      <c r="N39" s="988">
        <v>543791</v>
      </c>
      <c r="O39" s="988">
        <v>117181</v>
      </c>
      <c r="P39" s="990">
        <f t="shared" si="5"/>
        <v>1</v>
      </c>
      <c r="Q39" s="990"/>
    </row>
    <row r="40" spans="1:17" s="964" customFormat="1" ht="20.25" customHeight="1">
      <c r="A40" s="941"/>
      <c r="B40" s="941"/>
      <c r="C40" s="989" t="s">
        <v>889</v>
      </c>
      <c r="D40" s="988">
        <f t="shared" si="0"/>
        <v>356200</v>
      </c>
      <c r="E40" s="987"/>
      <c r="F40" s="988">
        <v>356200</v>
      </c>
      <c r="G40" s="989"/>
      <c r="H40" s="988">
        <f t="shared" si="1"/>
        <v>33884</v>
      </c>
      <c r="I40" s="987"/>
      <c r="J40" s="988">
        <v>33884</v>
      </c>
      <c r="K40" s="988"/>
      <c r="L40" s="1008">
        <f t="shared" si="6"/>
        <v>33884</v>
      </c>
      <c r="M40" s="987"/>
      <c r="N40" s="988">
        <v>33884</v>
      </c>
      <c r="O40" s="988"/>
      <c r="P40" s="990">
        <f t="shared" si="5"/>
        <v>1</v>
      </c>
      <c r="Q40" s="990"/>
    </row>
    <row r="41" spans="1:17" s="964" customFormat="1" ht="21" customHeight="1">
      <c r="A41" s="941"/>
      <c r="B41" s="941"/>
      <c r="C41" s="1010" t="s">
        <v>890</v>
      </c>
      <c r="D41" s="1011">
        <f t="shared" si="0"/>
        <v>300000</v>
      </c>
      <c r="E41" s="1012"/>
      <c r="F41" s="1011">
        <v>300000</v>
      </c>
      <c r="G41" s="1010"/>
      <c r="H41" s="1011">
        <f t="shared" si="1"/>
        <v>300000</v>
      </c>
      <c r="I41" s="1012"/>
      <c r="J41" s="1011">
        <v>300000</v>
      </c>
      <c r="K41" s="1011"/>
      <c r="L41" s="1008">
        <f t="shared" si="6"/>
        <v>300000</v>
      </c>
      <c r="M41" s="1012"/>
      <c r="N41" s="1011">
        <v>300000</v>
      </c>
      <c r="O41" s="1011"/>
      <c r="P41" s="1013">
        <f t="shared" si="5"/>
        <v>1</v>
      </c>
      <c r="Q41" s="1013"/>
    </row>
    <row r="42" spans="1:17" s="964" customFormat="1" ht="29.25" customHeight="1">
      <c r="A42" s="941"/>
      <c r="B42" s="941"/>
      <c r="C42" s="986" t="s">
        <v>891</v>
      </c>
      <c r="D42" s="1014">
        <f t="shared" si="0"/>
        <v>250000</v>
      </c>
      <c r="E42" s="987"/>
      <c r="F42" s="988">
        <v>250000</v>
      </c>
      <c r="G42" s="989"/>
      <c r="H42" s="1014">
        <f t="shared" si="1"/>
        <v>235676</v>
      </c>
      <c r="I42" s="987"/>
      <c r="J42" s="988">
        <v>235676</v>
      </c>
      <c r="K42" s="988"/>
      <c r="L42" s="1008">
        <f t="shared" si="6"/>
        <v>235676</v>
      </c>
      <c r="M42" s="987"/>
      <c r="N42" s="988">
        <v>235676</v>
      </c>
      <c r="O42" s="988"/>
      <c r="P42" s="990">
        <f t="shared" si="5"/>
        <v>1</v>
      </c>
      <c r="Q42" s="990"/>
    </row>
    <row r="43" spans="1:17" s="964" customFormat="1" ht="27.75" customHeight="1">
      <c r="A43" s="941"/>
      <c r="B43" s="941"/>
      <c r="C43" s="1009" t="s">
        <v>892</v>
      </c>
      <c r="D43" s="1014">
        <f t="shared" si="0"/>
        <v>200000</v>
      </c>
      <c r="E43" s="983"/>
      <c r="F43" s="984">
        <v>200000</v>
      </c>
      <c r="G43" s="982"/>
      <c r="H43" s="1014">
        <f t="shared" si="1"/>
        <v>360</v>
      </c>
      <c r="I43" s="983"/>
      <c r="J43" s="984">
        <v>360</v>
      </c>
      <c r="K43" s="984"/>
      <c r="L43" s="1008">
        <f t="shared" si="6"/>
        <v>360</v>
      </c>
      <c r="M43" s="983"/>
      <c r="N43" s="984">
        <v>360</v>
      </c>
      <c r="O43" s="984"/>
      <c r="P43" s="985">
        <f t="shared" si="5"/>
        <v>1</v>
      </c>
      <c r="Q43" s="985"/>
    </row>
    <row r="44" spans="1:17" s="964" customFormat="1" ht="21" customHeight="1">
      <c r="A44" s="941"/>
      <c r="B44" s="1015"/>
      <c r="C44" s="986" t="s">
        <v>893</v>
      </c>
      <c r="D44" s="1014">
        <f t="shared" si="0"/>
        <v>200000</v>
      </c>
      <c r="E44" s="1016"/>
      <c r="F44" s="1014">
        <v>200000</v>
      </c>
      <c r="G44" s="1017"/>
      <c r="H44" s="1014">
        <f t="shared" si="1"/>
        <v>310667</v>
      </c>
      <c r="I44" s="1016"/>
      <c r="J44" s="1014">
        <v>310667</v>
      </c>
      <c r="K44" s="1014"/>
      <c r="L44" s="1008">
        <f t="shared" si="6"/>
        <v>310667</v>
      </c>
      <c r="M44" s="1016"/>
      <c r="N44" s="1014">
        <v>310667</v>
      </c>
      <c r="O44" s="1014"/>
      <c r="P44" s="985">
        <f t="shared" si="5"/>
        <v>1</v>
      </c>
      <c r="Q44" s="1018"/>
    </row>
    <row r="45" spans="1:17" s="964" customFormat="1" ht="19.5" customHeight="1">
      <c r="A45" s="941"/>
      <c r="B45" s="1015"/>
      <c r="C45" s="1019" t="s">
        <v>894</v>
      </c>
      <c r="D45" s="1011">
        <f t="shared" si="0"/>
        <v>200000</v>
      </c>
      <c r="E45" s="1020"/>
      <c r="F45" s="1021">
        <v>200000</v>
      </c>
      <c r="G45" s="1019"/>
      <c r="H45" s="1011">
        <f t="shared" si="1"/>
        <v>384245</v>
      </c>
      <c r="I45" s="1020"/>
      <c r="J45" s="1021">
        <v>384245</v>
      </c>
      <c r="K45" s="1021"/>
      <c r="L45" s="1008">
        <f t="shared" si="6"/>
        <v>384245</v>
      </c>
      <c r="M45" s="1020"/>
      <c r="N45" s="1021">
        <v>384245</v>
      </c>
      <c r="O45" s="1021"/>
      <c r="P45" s="985">
        <f t="shared" si="5"/>
        <v>1</v>
      </c>
      <c r="Q45" s="1022"/>
    </row>
    <row r="46" spans="1:17" s="964" customFormat="1" ht="19.5" customHeight="1">
      <c r="A46" s="941"/>
      <c r="B46" s="941"/>
      <c r="C46" s="991" t="s">
        <v>895</v>
      </c>
      <c r="D46" s="1014">
        <f t="shared" si="0"/>
        <v>100000</v>
      </c>
      <c r="E46" s="992">
        <v>100000</v>
      </c>
      <c r="F46" s="975"/>
      <c r="G46" s="993"/>
      <c r="H46" s="1014">
        <f t="shared" si="1"/>
        <v>100000</v>
      </c>
      <c r="I46" s="992">
        <v>100000</v>
      </c>
      <c r="J46" s="975"/>
      <c r="K46" s="975"/>
      <c r="L46" s="1008">
        <f t="shared" si="6"/>
        <v>99997</v>
      </c>
      <c r="M46" s="992">
        <v>99997</v>
      </c>
      <c r="N46" s="975"/>
      <c r="O46" s="975"/>
      <c r="P46" s="985">
        <v>0.9999</v>
      </c>
      <c r="Q46" s="994">
        <v>0.9999</v>
      </c>
    </row>
    <row r="47" spans="1:17" s="964" customFormat="1" ht="21" customHeight="1">
      <c r="A47" s="998"/>
      <c r="B47" s="998"/>
      <c r="C47" s="1023" t="s">
        <v>896</v>
      </c>
      <c r="D47" s="1014">
        <f t="shared" si="0"/>
        <v>57000</v>
      </c>
      <c r="E47" s="1024"/>
      <c r="F47" s="1025">
        <v>57000</v>
      </c>
      <c r="G47" s="1026"/>
      <c r="H47" s="1014">
        <f t="shared" si="1"/>
        <v>52335</v>
      </c>
      <c r="I47" s="1024"/>
      <c r="J47" s="1025">
        <v>52335</v>
      </c>
      <c r="K47" s="1025"/>
      <c r="L47" s="1008">
        <f t="shared" si="6"/>
        <v>52335</v>
      </c>
      <c r="M47" s="1024"/>
      <c r="N47" s="1025">
        <v>52335</v>
      </c>
      <c r="O47" s="1025"/>
      <c r="P47" s="985">
        <f aca="true" t="shared" si="7" ref="P47:P62">L47/H47</f>
        <v>1</v>
      </c>
      <c r="Q47" s="1027"/>
    </row>
    <row r="48" spans="1:17" s="964" customFormat="1" ht="21" customHeight="1">
      <c r="A48" s="958">
        <v>700</v>
      </c>
      <c r="B48" s="958"/>
      <c r="C48" s="1028" t="s">
        <v>316</v>
      </c>
      <c r="D48" s="1029">
        <f t="shared" si="0"/>
        <v>4000000</v>
      </c>
      <c r="E48" s="1030">
        <f>E51+E53+E49</f>
        <v>4000000</v>
      </c>
      <c r="F48" s="1029"/>
      <c r="G48" s="1028"/>
      <c r="H48" s="1029">
        <f t="shared" si="1"/>
        <v>4000000</v>
      </c>
      <c r="I48" s="1030">
        <f>I51+I53+I49</f>
        <v>4000000</v>
      </c>
      <c r="J48" s="1029"/>
      <c r="K48" s="1029"/>
      <c r="L48" s="1031">
        <f t="shared" si="6"/>
        <v>3466622</v>
      </c>
      <c r="M48" s="1030">
        <f>M49+M51+M53</f>
        <v>3466622</v>
      </c>
      <c r="N48" s="1029"/>
      <c r="O48" s="1029"/>
      <c r="P48" s="1032">
        <f t="shared" si="7"/>
        <v>0.8666555</v>
      </c>
      <c r="Q48" s="1032">
        <f aca="true" t="shared" si="8" ref="Q48:Q62">M48/I48</f>
        <v>0.8666555</v>
      </c>
    </row>
    <row r="49" spans="1:17" s="957" customFormat="1" ht="21.75" customHeight="1">
      <c r="A49" s="965"/>
      <c r="B49" s="1005">
        <v>70001</v>
      </c>
      <c r="C49" s="970" t="s">
        <v>317</v>
      </c>
      <c r="D49" s="968">
        <f t="shared" si="0"/>
        <v>300000</v>
      </c>
      <c r="E49" s="969">
        <f>E50</f>
        <v>300000</v>
      </c>
      <c r="F49" s="968"/>
      <c r="G49" s="970"/>
      <c r="H49" s="968">
        <f t="shared" si="1"/>
        <v>300000</v>
      </c>
      <c r="I49" s="969">
        <f>I50</f>
        <v>300000</v>
      </c>
      <c r="J49" s="968"/>
      <c r="K49" s="968"/>
      <c r="L49" s="971">
        <f t="shared" si="6"/>
        <v>265591</v>
      </c>
      <c r="M49" s="969">
        <f>M50</f>
        <v>265591</v>
      </c>
      <c r="N49" s="968"/>
      <c r="O49" s="968"/>
      <c r="P49" s="972">
        <f t="shared" si="7"/>
        <v>0.8853033333333333</v>
      </c>
      <c r="Q49" s="972">
        <f t="shared" si="8"/>
        <v>0.8853033333333333</v>
      </c>
    </row>
    <row r="50" spans="1:17" s="964" customFormat="1" ht="24" customHeight="1">
      <c r="A50" s="941"/>
      <c r="B50" s="1033"/>
      <c r="C50" s="1034" t="s">
        <v>897</v>
      </c>
      <c r="D50" s="1035">
        <f t="shared" si="0"/>
        <v>300000</v>
      </c>
      <c r="E50" s="1036">
        <v>300000</v>
      </c>
      <c r="F50" s="1035"/>
      <c r="G50" s="1037"/>
      <c r="H50" s="1035">
        <f t="shared" si="1"/>
        <v>300000</v>
      </c>
      <c r="I50" s="1036">
        <v>300000</v>
      </c>
      <c r="J50" s="1035"/>
      <c r="K50" s="1035"/>
      <c r="L50" s="1038">
        <f t="shared" si="6"/>
        <v>265591</v>
      </c>
      <c r="M50" s="1036">
        <v>265591</v>
      </c>
      <c r="N50" s="1035"/>
      <c r="O50" s="1035"/>
      <c r="P50" s="1039">
        <f t="shared" si="7"/>
        <v>0.8853033333333333</v>
      </c>
      <c r="Q50" s="1039">
        <f t="shared" si="8"/>
        <v>0.8853033333333333</v>
      </c>
    </row>
    <row r="51" spans="1:17" s="957" customFormat="1" ht="24" customHeight="1">
      <c r="A51" s="965"/>
      <c r="B51" s="951">
        <v>70021</v>
      </c>
      <c r="C51" s="1040" t="s">
        <v>637</v>
      </c>
      <c r="D51" s="1041">
        <f t="shared" si="0"/>
        <v>2000000</v>
      </c>
      <c r="E51" s="1042">
        <f>E52</f>
        <v>2000000</v>
      </c>
      <c r="F51" s="1041"/>
      <c r="G51" s="1040"/>
      <c r="H51" s="1041">
        <f t="shared" si="1"/>
        <v>2000000</v>
      </c>
      <c r="I51" s="1042">
        <f>I52</f>
        <v>2000000</v>
      </c>
      <c r="J51" s="1041"/>
      <c r="K51" s="1041"/>
      <c r="L51" s="1043">
        <f t="shared" si="6"/>
        <v>2000000</v>
      </c>
      <c r="M51" s="1042">
        <f>M52</f>
        <v>2000000</v>
      </c>
      <c r="N51" s="1041"/>
      <c r="O51" s="1041"/>
      <c r="P51" s="713">
        <f t="shared" si="7"/>
        <v>1</v>
      </c>
      <c r="Q51" s="713">
        <f t="shared" si="8"/>
        <v>1</v>
      </c>
    </row>
    <row r="52" spans="1:17" s="964" customFormat="1" ht="45.75" customHeight="1">
      <c r="A52" s="941"/>
      <c r="B52" s="1033"/>
      <c r="C52" s="1034" t="s">
        <v>898</v>
      </c>
      <c r="D52" s="1035">
        <f t="shared" si="0"/>
        <v>2000000</v>
      </c>
      <c r="E52" s="1036">
        <v>2000000</v>
      </c>
      <c r="F52" s="1035"/>
      <c r="G52" s="1037"/>
      <c r="H52" s="1035">
        <f t="shared" si="1"/>
        <v>2000000</v>
      </c>
      <c r="I52" s="1036">
        <v>2000000</v>
      </c>
      <c r="J52" s="1035"/>
      <c r="K52" s="1035"/>
      <c r="L52" s="1038">
        <f t="shared" si="6"/>
        <v>2000000</v>
      </c>
      <c r="M52" s="1036">
        <v>2000000</v>
      </c>
      <c r="N52" s="1035"/>
      <c r="O52" s="1035"/>
      <c r="P52" s="1039">
        <f t="shared" si="7"/>
        <v>1</v>
      </c>
      <c r="Q52" s="1039">
        <f t="shared" si="8"/>
        <v>1</v>
      </c>
    </row>
    <row r="53" spans="1:17" s="957" customFormat="1" ht="21.75" customHeight="1">
      <c r="A53" s="965"/>
      <c r="B53" s="1005">
        <v>70095</v>
      </c>
      <c r="C53" s="970" t="s">
        <v>314</v>
      </c>
      <c r="D53" s="968">
        <f t="shared" si="0"/>
        <v>1700000</v>
      </c>
      <c r="E53" s="969">
        <f>E54</f>
        <v>1700000</v>
      </c>
      <c r="F53" s="968"/>
      <c r="G53" s="970"/>
      <c r="H53" s="968">
        <f t="shared" si="1"/>
        <v>1700000</v>
      </c>
      <c r="I53" s="969">
        <f>I54</f>
        <v>1700000</v>
      </c>
      <c r="J53" s="968"/>
      <c r="K53" s="968"/>
      <c r="L53" s="971">
        <f t="shared" si="6"/>
        <v>1201031</v>
      </c>
      <c r="M53" s="969">
        <f>M54</f>
        <v>1201031</v>
      </c>
      <c r="N53" s="968"/>
      <c r="O53" s="968"/>
      <c r="P53" s="972">
        <f t="shared" si="7"/>
        <v>0.7064888235294118</v>
      </c>
      <c r="Q53" s="972">
        <f t="shared" si="8"/>
        <v>0.7064888235294118</v>
      </c>
    </row>
    <row r="54" spans="1:17" s="964" customFormat="1" ht="30" customHeight="1">
      <c r="A54" s="998"/>
      <c r="B54" s="1033"/>
      <c r="C54" s="1034" t="s">
        <v>899</v>
      </c>
      <c r="D54" s="1035">
        <f t="shared" si="0"/>
        <v>1700000</v>
      </c>
      <c r="E54" s="1036">
        <v>1700000</v>
      </c>
      <c r="F54" s="1035"/>
      <c r="G54" s="1037"/>
      <c r="H54" s="1035">
        <f t="shared" si="1"/>
        <v>1700000</v>
      </c>
      <c r="I54" s="1036">
        <v>1700000</v>
      </c>
      <c r="J54" s="1035"/>
      <c r="K54" s="1035"/>
      <c r="L54" s="1038">
        <f t="shared" si="6"/>
        <v>1201031</v>
      </c>
      <c r="M54" s="1036">
        <v>1201031</v>
      </c>
      <c r="N54" s="1035"/>
      <c r="O54" s="1035"/>
      <c r="P54" s="1039">
        <f t="shared" si="7"/>
        <v>0.7064888235294118</v>
      </c>
      <c r="Q54" s="1039">
        <f t="shared" si="8"/>
        <v>0.7064888235294118</v>
      </c>
    </row>
    <row r="55" spans="1:17" s="964" customFormat="1" ht="21" customHeight="1">
      <c r="A55" s="958">
        <v>710</v>
      </c>
      <c r="B55" s="958"/>
      <c r="C55" s="1028" t="s">
        <v>332</v>
      </c>
      <c r="D55" s="1029"/>
      <c r="E55" s="1030">
        <f>E58+E60+E56</f>
        <v>1300000</v>
      </c>
      <c r="F55" s="1029"/>
      <c r="G55" s="1028"/>
      <c r="H55" s="1029">
        <f t="shared" si="1"/>
        <v>6000</v>
      </c>
      <c r="I55" s="1030">
        <f>I56</f>
        <v>6000</v>
      </c>
      <c r="J55" s="1029"/>
      <c r="K55" s="1029"/>
      <c r="L55" s="1031">
        <f t="shared" si="6"/>
        <v>6000</v>
      </c>
      <c r="M55" s="1030">
        <f>M56</f>
        <v>6000</v>
      </c>
      <c r="N55" s="1029"/>
      <c r="O55" s="1029"/>
      <c r="P55" s="1032">
        <f t="shared" si="7"/>
        <v>1</v>
      </c>
      <c r="Q55" s="1032">
        <f t="shared" si="8"/>
        <v>1</v>
      </c>
    </row>
    <row r="56" spans="1:17" s="957" customFormat="1" ht="21.75" customHeight="1">
      <c r="A56" s="965"/>
      <c r="B56" s="1005">
        <v>71095</v>
      </c>
      <c r="C56" s="970" t="s">
        <v>314</v>
      </c>
      <c r="D56" s="968"/>
      <c r="E56" s="969">
        <f>E57</f>
        <v>300000</v>
      </c>
      <c r="F56" s="968"/>
      <c r="G56" s="970"/>
      <c r="H56" s="968">
        <f t="shared" si="1"/>
        <v>6000</v>
      </c>
      <c r="I56" s="969">
        <f>I57</f>
        <v>6000</v>
      </c>
      <c r="J56" s="968"/>
      <c r="K56" s="968"/>
      <c r="L56" s="971">
        <f t="shared" si="6"/>
        <v>6000</v>
      </c>
      <c r="M56" s="969">
        <f>M57</f>
        <v>6000</v>
      </c>
      <c r="N56" s="968"/>
      <c r="O56" s="968"/>
      <c r="P56" s="972">
        <f t="shared" si="7"/>
        <v>1</v>
      </c>
      <c r="Q56" s="972">
        <f t="shared" si="8"/>
        <v>1</v>
      </c>
    </row>
    <row r="57" spans="1:17" s="964" customFormat="1" ht="30" customHeight="1">
      <c r="A57" s="941"/>
      <c r="B57" s="1033"/>
      <c r="C57" s="1034" t="s">
        <v>900</v>
      </c>
      <c r="D57" s="1035"/>
      <c r="E57" s="1036">
        <v>300000</v>
      </c>
      <c r="F57" s="1035"/>
      <c r="G57" s="1037"/>
      <c r="H57" s="1035">
        <v>6000</v>
      </c>
      <c r="I57" s="1036">
        <v>6000</v>
      </c>
      <c r="J57" s="1035"/>
      <c r="K57" s="1035"/>
      <c r="L57" s="1038">
        <f t="shared" si="6"/>
        <v>6000</v>
      </c>
      <c r="M57" s="1036">
        <v>6000</v>
      </c>
      <c r="N57" s="1035"/>
      <c r="O57" s="1035"/>
      <c r="P57" s="1039">
        <f t="shared" si="7"/>
        <v>1</v>
      </c>
      <c r="Q57" s="1039">
        <f t="shared" si="8"/>
        <v>1</v>
      </c>
    </row>
    <row r="58" spans="1:17" s="964" customFormat="1" ht="24" customHeight="1">
      <c r="A58" s="958">
        <v>750</v>
      </c>
      <c r="B58" s="958"/>
      <c r="C58" s="1028" t="s">
        <v>336</v>
      </c>
      <c r="D58" s="1029">
        <f aca="true" t="shared" si="9" ref="D58:D66">E58+F58+G58</f>
        <v>600000</v>
      </c>
      <c r="E58" s="1030">
        <f>E59</f>
        <v>600000</v>
      </c>
      <c r="F58" s="1029"/>
      <c r="G58" s="1028"/>
      <c r="H58" s="1029">
        <f>I58+J58+K58</f>
        <v>465400</v>
      </c>
      <c r="I58" s="1030">
        <f>I59</f>
        <v>465400</v>
      </c>
      <c r="J58" s="1029"/>
      <c r="K58" s="1029"/>
      <c r="L58" s="1031">
        <f t="shared" si="6"/>
        <v>253297</v>
      </c>
      <c r="M58" s="1030">
        <f>M59</f>
        <v>253297</v>
      </c>
      <c r="N58" s="1029"/>
      <c r="O58" s="1029"/>
      <c r="P58" s="1032">
        <f t="shared" si="7"/>
        <v>0.5442565535023636</v>
      </c>
      <c r="Q58" s="1032">
        <f t="shared" si="8"/>
        <v>0.5442565535023636</v>
      </c>
    </row>
    <row r="59" spans="1:17" s="957" customFormat="1" ht="30" customHeight="1">
      <c r="A59" s="1044"/>
      <c r="B59" s="1005">
        <v>75023</v>
      </c>
      <c r="C59" s="967" t="s">
        <v>337</v>
      </c>
      <c r="D59" s="968">
        <f t="shared" si="9"/>
        <v>600000</v>
      </c>
      <c r="E59" s="969">
        <f>SUM(E60:E61)</f>
        <v>600000</v>
      </c>
      <c r="F59" s="968"/>
      <c r="G59" s="970"/>
      <c r="H59" s="968">
        <f>I59+J59+K59</f>
        <v>465400</v>
      </c>
      <c r="I59" s="969">
        <f>SUM(I60:I61)</f>
        <v>465400</v>
      </c>
      <c r="J59" s="968"/>
      <c r="K59" s="968"/>
      <c r="L59" s="971">
        <f t="shared" si="6"/>
        <v>253297</v>
      </c>
      <c r="M59" s="969">
        <f>M61+M60</f>
        <v>253297</v>
      </c>
      <c r="N59" s="968"/>
      <c r="O59" s="968"/>
      <c r="P59" s="972">
        <f t="shared" si="7"/>
        <v>0.5442565535023636</v>
      </c>
      <c r="Q59" s="972">
        <f t="shared" si="8"/>
        <v>0.5442565535023636</v>
      </c>
    </row>
    <row r="60" spans="1:17" s="964" customFormat="1" ht="20.25" customHeight="1">
      <c r="A60" s="941"/>
      <c r="B60" s="941"/>
      <c r="C60" s="982" t="s">
        <v>901</v>
      </c>
      <c r="D60" s="984">
        <f t="shared" si="9"/>
        <v>400000</v>
      </c>
      <c r="E60" s="983">
        <v>400000</v>
      </c>
      <c r="F60" s="984"/>
      <c r="G60" s="982"/>
      <c r="H60" s="984">
        <f>I60+J60+K60</f>
        <v>250000</v>
      </c>
      <c r="I60" s="983">
        <v>250000</v>
      </c>
      <c r="J60" s="984"/>
      <c r="K60" s="984"/>
      <c r="L60" s="1008">
        <f>M60</f>
        <v>144337</v>
      </c>
      <c r="M60" s="983">
        <v>144337</v>
      </c>
      <c r="N60" s="984"/>
      <c r="O60" s="984"/>
      <c r="P60" s="980">
        <f t="shared" si="7"/>
        <v>0.577348</v>
      </c>
      <c r="Q60" s="980">
        <f t="shared" si="8"/>
        <v>0.577348</v>
      </c>
    </row>
    <row r="61" spans="1:17" s="964" customFormat="1" ht="22.5" customHeight="1">
      <c r="A61" s="998"/>
      <c r="B61" s="998"/>
      <c r="C61" s="1002" t="s">
        <v>902</v>
      </c>
      <c r="D61" s="1000">
        <f t="shared" si="9"/>
        <v>200000</v>
      </c>
      <c r="E61" s="1001">
        <v>200000</v>
      </c>
      <c r="F61" s="1000"/>
      <c r="G61" s="1002"/>
      <c r="H61" s="1000">
        <f>I61+J61+K61</f>
        <v>215400</v>
      </c>
      <c r="I61" s="1001">
        <v>215400</v>
      </c>
      <c r="J61" s="1000"/>
      <c r="K61" s="1000"/>
      <c r="L61" s="1003">
        <f>SUM(M61:O61)</f>
        <v>108960</v>
      </c>
      <c r="M61" s="1001">
        <v>108960</v>
      </c>
      <c r="N61" s="1000"/>
      <c r="O61" s="1000"/>
      <c r="P61" s="1004">
        <f t="shared" si="7"/>
        <v>0.5058495821727019</v>
      </c>
      <c r="Q61" s="1004">
        <f t="shared" si="8"/>
        <v>0.5058495821727019</v>
      </c>
    </row>
    <row r="62" spans="1:17" s="964" customFormat="1" ht="33" customHeight="1">
      <c r="A62" s="1045">
        <v>754</v>
      </c>
      <c r="B62" s="958"/>
      <c r="C62" s="1046" t="s">
        <v>344</v>
      </c>
      <c r="D62" s="1029">
        <f t="shared" si="9"/>
        <v>650000</v>
      </c>
      <c r="E62" s="1030">
        <f>E63+E65+E69</f>
        <v>650000</v>
      </c>
      <c r="F62" s="1029"/>
      <c r="G62" s="1028"/>
      <c r="H62" s="1029">
        <f>I62+J62+K62</f>
        <v>642000</v>
      </c>
      <c r="I62" s="1030">
        <f>I63+I65+I67+I69</f>
        <v>642000</v>
      </c>
      <c r="J62" s="1029"/>
      <c r="K62" s="1029"/>
      <c r="L62" s="1031">
        <f>SUM(M62:O62)</f>
        <v>102260</v>
      </c>
      <c r="M62" s="1030">
        <f>M67+M69+M65</f>
        <v>102260</v>
      </c>
      <c r="N62" s="1029"/>
      <c r="O62" s="1029"/>
      <c r="P62" s="1032">
        <f t="shared" si="7"/>
        <v>0.15928348909657322</v>
      </c>
      <c r="Q62" s="1032">
        <f t="shared" si="8"/>
        <v>0.15928348909657322</v>
      </c>
    </row>
    <row r="63" spans="1:17" s="957" customFormat="1" ht="21.75" customHeight="1">
      <c r="A63" s="1044"/>
      <c r="B63" s="1005">
        <v>75405</v>
      </c>
      <c r="C63" s="967" t="s">
        <v>658</v>
      </c>
      <c r="D63" s="968">
        <f t="shared" si="9"/>
        <v>400000</v>
      </c>
      <c r="E63" s="969">
        <f>SUM(E64:E64)</f>
        <v>400000</v>
      </c>
      <c r="F63" s="968"/>
      <c r="G63" s="970"/>
      <c r="H63" s="968"/>
      <c r="I63" s="969"/>
      <c r="J63" s="968"/>
      <c r="K63" s="968"/>
      <c r="L63" s="971"/>
      <c r="M63" s="969"/>
      <c r="N63" s="968"/>
      <c r="O63" s="968"/>
      <c r="P63" s="972"/>
      <c r="Q63" s="972"/>
    </row>
    <row r="64" spans="1:17" s="964" customFormat="1" ht="19.5" customHeight="1">
      <c r="A64" s="941"/>
      <c r="B64" s="1033"/>
      <c r="C64" s="1034" t="s">
        <v>903</v>
      </c>
      <c r="D64" s="1035">
        <f t="shared" si="9"/>
        <v>400000</v>
      </c>
      <c r="E64" s="1036">
        <f>300000+100000</f>
        <v>400000</v>
      </c>
      <c r="F64" s="1035"/>
      <c r="G64" s="1037"/>
      <c r="H64" s="1035"/>
      <c r="I64" s="1036"/>
      <c r="J64" s="1035"/>
      <c r="K64" s="1035"/>
      <c r="L64" s="1038"/>
      <c r="M64" s="1036"/>
      <c r="N64" s="1035"/>
      <c r="O64" s="1035"/>
      <c r="P64" s="1039"/>
      <c r="Q64" s="1039"/>
    </row>
    <row r="65" spans="1:17" s="957" customFormat="1" ht="29.25" customHeight="1">
      <c r="A65" s="965"/>
      <c r="B65" s="1047">
        <v>75411</v>
      </c>
      <c r="C65" s="1048" t="s">
        <v>564</v>
      </c>
      <c r="D65" s="1041">
        <f t="shared" si="9"/>
        <v>100000</v>
      </c>
      <c r="E65" s="1042">
        <f>E66</f>
        <v>100000</v>
      </c>
      <c r="F65" s="1041"/>
      <c r="G65" s="1040"/>
      <c r="H65" s="1041">
        <f>I65+J65+K65</f>
        <v>80000</v>
      </c>
      <c r="I65" s="1042">
        <f>I66</f>
        <v>80000</v>
      </c>
      <c r="J65" s="1041"/>
      <c r="K65" s="1041"/>
      <c r="L65" s="1049">
        <f>M65</f>
        <v>80000</v>
      </c>
      <c r="M65" s="1042">
        <f>M66</f>
        <v>80000</v>
      </c>
      <c r="N65" s="1041"/>
      <c r="O65" s="1041"/>
      <c r="P65" s="713">
        <f aca="true" t="shared" si="10" ref="P65:P74">L65/H65</f>
        <v>1</v>
      </c>
      <c r="Q65" s="1050">
        <f aca="true" t="shared" si="11" ref="Q65:Q74">M65/I65</f>
        <v>1</v>
      </c>
    </row>
    <row r="66" spans="1:17" s="964" customFormat="1" ht="19.5" customHeight="1">
      <c r="A66" s="941"/>
      <c r="B66" s="1033"/>
      <c r="C66" s="1034" t="s">
        <v>904</v>
      </c>
      <c r="D66" s="1035">
        <f t="shared" si="9"/>
        <v>100000</v>
      </c>
      <c r="E66" s="1036">
        <v>100000</v>
      </c>
      <c r="F66" s="1035"/>
      <c r="G66" s="1037"/>
      <c r="H66" s="1035">
        <f>I66+J66+K66</f>
        <v>80000</v>
      </c>
      <c r="I66" s="1036">
        <v>80000</v>
      </c>
      <c r="J66" s="1035"/>
      <c r="K66" s="1035"/>
      <c r="L66" s="1038">
        <f>M66</f>
        <v>80000</v>
      </c>
      <c r="M66" s="1036">
        <v>80000</v>
      </c>
      <c r="N66" s="1035"/>
      <c r="O66" s="1035"/>
      <c r="P66" s="718">
        <f t="shared" si="10"/>
        <v>1</v>
      </c>
      <c r="Q66" s="740">
        <f t="shared" si="11"/>
        <v>1</v>
      </c>
    </row>
    <row r="67" spans="1:17" s="964" customFormat="1" ht="19.5" customHeight="1">
      <c r="A67" s="941"/>
      <c r="B67" s="1051">
        <v>75416</v>
      </c>
      <c r="C67" s="1052" t="s">
        <v>345</v>
      </c>
      <c r="D67" s="1000"/>
      <c r="E67" s="1001"/>
      <c r="F67" s="1000"/>
      <c r="G67" s="1002"/>
      <c r="H67" s="742">
        <f>I67</f>
        <v>12000</v>
      </c>
      <c r="I67" s="1053">
        <f>I68</f>
        <v>12000</v>
      </c>
      <c r="J67" s="1000"/>
      <c r="K67" s="1000"/>
      <c r="L67" s="1054">
        <f aca="true" t="shared" si="12" ref="L67:L74">SUM(M67:O67)</f>
        <v>11980</v>
      </c>
      <c r="M67" s="1053">
        <f>M68</f>
        <v>11980</v>
      </c>
      <c r="N67" s="1000"/>
      <c r="O67" s="1000"/>
      <c r="P67" s="713">
        <f t="shared" si="10"/>
        <v>0.9983333333333333</v>
      </c>
      <c r="Q67" s="1050">
        <f t="shared" si="11"/>
        <v>0.9983333333333333</v>
      </c>
    </row>
    <row r="68" spans="1:17" s="964" customFormat="1" ht="19.5" customHeight="1">
      <c r="A68" s="941"/>
      <c r="B68" s="998"/>
      <c r="C68" s="999" t="s">
        <v>902</v>
      </c>
      <c r="D68" s="1000"/>
      <c r="E68" s="1001"/>
      <c r="F68" s="1000"/>
      <c r="G68" s="1002"/>
      <c r="H68" s="1000">
        <f>I68</f>
        <v>12000</v>
      </c>
      <c r="I68" s="1001">
        <v>12000</v>
      </c>
      <c r="J68" s="1000"/>
      <c r="K68" s="1000"/>
      <c r="L68" s="1003">
        <f t="shared" si="12"/>
        <v>11980</v>
      </c>
      <c r="M68" s="1001">
        <v>11980</v>
      </c>
      <c r="N68" s="1000"/>
      <c r="O68" s="1000"/>
      <c r="P68" s="1039">
        <f t="shared" si="10"/>
        <v>0.9983333333333333</v>
      </c>
      <c r="Q68" s="740">
        <f t="shared" si="11"/>
        <v>0.9983333333333333</v>
      </c>
    </row>
    <row r="69" spans="1:17" s="957" customFormat="1" ht="23.25" customHeight="1">
      <c r="A69" s="965"/>
      <c r="B69" s="1055">
        <v>75495</v>
      </c>
      <c r="C69" s="1048" t="s">
        <v>314</v>
      </c>
      <c r="D69" s="1041">
        <f>E69+F69+G69</f>
        <v>150000</v>
      </c>
      <c r="E69" s="1042">
        <f>E70</f>
        <v>150000</v>
      </c>
      <c r="F69" s="1041"/>
      <c r="G69" s="1040"/>
      <c r="H69" s="1041">
        <f>I69+J69+K69</f>
        <v>550000</v>
      </c>
      <c r="I69" s="1042">
        <f>I70</f>
        <v>550000</v>
      </c>
      <c r="J69" s="1041"/>
      <c r="K69" s="1041"/>
      <c r="L69" s="1049">
        <f t="shared" si="12"/>
        <v>10280</v>
      </c>
      <c r="M69" s="1042">
        <f>M70</f>
        <v>10280</v>
      </c>
      <c r="N69" s="1041"/>
      <c r="O69" s="1041"/>
      <c r="P69" s="1050">
        <f t="shared" si="10"/>
        <v>0.01869090909090909</v>
      </c>
      <c r="Q69" s="1050">
        <f t="shared" si="11"/>
        <v>0.01869090909090909</v>
      </c>
    </row>
    <row r="70" spans="1:17" s="964" customFormat="1" ht="21.75" customHeight="1">
      <c r="A70" s="998"/>
      <c r="B70" s="998"/>
      <c r="C70" s="999" t="s">
        <v>663</v>
      </c>
      <c r="D70" s="1000">
        <f>E70+F70+G70</f>
        <v>150000</v>
      </c>
      <c r="E70" s="1001">
        <v>150000</v>
      </c>
      <c r="F70" s="1000"/>
      <c r="G70" s="1002"/>
      <c r="H70" s="1000">
        <f>I70+J70+K70</f>
        <v>550000</v>
      </c>
      <c r="I70" s="1001">
        <v>550000</v>
      </c>
      <c r="J70" s="1000"/>
      <c r="K70" s="1000"/>
      <c r="L70" s="1003">
        <f t="shared" si="12"/>
        <v>10280</v>
      </c>
      <c r="M70" s="1001">
        <v>10280</v>
      </c>
      <c r="N70" s="1000"/>
      <c r="O70" s="1000"/>
      <c r="P70" s="1004">
        <f t="shared" si="10"/>
        <v>0.01869090909090909</v>
      </c>
      <c r="Q70" s="1004">
        <f t="shared" si="11"/>
        <v>0.01869090909090909</v>
      </c>
    </row>
    <row r="71" spans="1:17" s="964" customFormat="1" ht="21.75" customHeight="1">
      <c r="A71" s="1056">
        <v>801</v>
      </c>
      <c r="B71" s="1057"/>
      <c r="C71" s="1058" t="s">
        <v>386</v>
      </c>
      <c r="D71" s="707">
        <f>E71+F71+G71</f>
        <v>7462000</v>
      </c>
      <c r="E71" s="961">
        <f>E72+E80+E87</f>
        <v>6462000</v>
      </c>
      <c r="F71" s="961">
        <f>F72+F80+F87</f>
        <v>1000000</v>
      </c>
      <c r="G71" s="959"/>
      <c r="H71" s="707">
        <f>I71+J71+K71</f>
        <v>11121016</v>
      </c>
      <c r="I71" s="961">
        <f>I72+I80+I87+I85</f>
        <v>7275437</v>
      </c>
      <c r="J71" s="961">
        <f>J72+J80+J87</f>
        <v>3813000</v>
      </c>
      <c r="K71" s="960">
        <f>K72</f>
        <v>32579</v>
      </c>
      <c r="L71" s="1059">
        <f t="shared" si="12"/>
        <v>9727588</v>
      </c>
      <c r="M71" s="961">
        <f>M72+M80+M85+M87</f>
        <v>5966654</v>
      </c>
      <c r="N71" s="961">
        <f>N72+N80+N87</f>
        <v>3728355</v>
      </c>
      <c r="O71" s="961">
        <f>O72</f>
        <v>32579</v>
      </c>
      <c r="P71" s="963">
        <f t="shared" si="10"/>
        <v>0.8747031746020327</v>
      </c>
      <c r="Q71" s="963">
        <f t="shared" si="11"/>
        <v>0.8201093625028985</v>
      </c>
    </row>
    <row r="72" spans="1:17" s="957" customFormat="1" ht="21.75" customHeight="1">
      <c r="A72" s="1044"/>
      <c r="B72" s="966">
        <v>80101</v>
      </c>
      <c r="C72" s="967" t="s">
        <v>387</v>
      </c>
      <c r="D72" s="968">
        <f>E72+F72+G72</f>
        <v>3362000</v>
      </c>
      <c r="E72" s="969">
        <f>SUM(E73:E77)</f>
        <v>3362000</v>
      </c>
      <c r="F72" s="968"/>
      <c r="G72" s="970"/>
      <c r="H72" s="968">
        <f>I72+J72+K72</f>
        <v>3770722</v>
      </c>
      <c r="I72" s="969">
        <f>SUM(I73:I79)</f>
        <v>3375143</v>
      </c>
      <c r="J72" s="968">
        <f>J79</f>
        <v>363000</v>
      </c>
      <c r="K72" s="968">
        <f>K73</f>
        <v>32579</v>
      </c>
      <c r="L72" s="971">
        <f t="shared" si="12"/>
        <v>3448598</v>
      </c>
      <c r="M72" s="969">
        <f>SUM(M73:M79)</f>
        <v>3097021</v>
      </c>
      <c r="N72" s="968">
        <f>N79</f>
        <v>318998</v>
      </c>
      <c r="O72" s="968">
        <f>O73</f>
        <v>32579</v>
      </c>
      <c r="P72" s="972">
        <f t="shared" si="10"/>
        <v>0.9145723285885302</v>
      </c>
      <c r="Q72" s="972">
        <f t="shared" si="11"/>
        <v>0.9175969729282581</v>
      </c>
    </row>
    <row r="73" spans="1:17" s="964" customFormat="1" ht="20.25" customHeight="1">
      <c r="A73" s="941"/>
      <c r="B73" s="941"/>
      <c r="C73" s="1009" t="s">
        <v>905</v>
      </c>
      <c r="D73" s="984">
        <f>G73+F73+E73</f>
        <v>2000000</v>
      </c>
      <c r="E73" s="983">
        <v>2000000</v>
      </c>
      <c r="F73" s="984"/>
      <c r="G73" s="982"/>
      <c r="H73" s="984">
        <f>K73+J73+I73</f>
        <v>1532579</v>
      </c>
      <c r="I73" s="983">
        <v>1500000</v>
      </c>
      <c r="J73" s="984"/>
      <c r="K73" s="984">
        <v>32579</v>
      </c>
      <c r="L73" s="1008">
        <f t="shared" si="12"/>
        <v>1532579</v>
      </c>
      <c r="M73" s="983">
        <v>1500000</v>
      </c>
      <c r="N73" s="984"/>
      <c r="O73" s="984">
        <v>32579</v>
      </c>
      <c r="P73" s="985">
        <f t="shared" si="10"/>
        <v>1</v>
      </c>
      <c r="Q73" s="985">
        <f t="shared" si="11"/>
        <v>1</v>
      </c>
    </row>
    <row r="74" spans="1:17" s="964" customFormat="1" ht="21" customHeight="1">
      <c r="A74" s="941"/>
      <c r="B74" s="941"/>
      <c r="C74" s="986" t="s">
        <v>906</v>
      </c>
      <c r="D74" s="988">
        <f>E74+F74+G74</f>
        <v>500000</v>
      </c>
      <c r="E74" s="987">
        <v>500000</v>
      </c>
      <c r="F74" s="988"/>
      <c r="G74" s="989"/>
      <c r="H74" s="988">
        <f>I74+J74+K74</f>
        <v>1000000</v>
      </c>
      <c r="I74" s="987">
        <v>1000000</v>
      </c>
      <c r="J74" s="988"/>
      <c r="K74" s="988"/>
      <c r="L74" s="1008">
        <f t="shared" si="12"/>
        <v>930750</v>
      </c>
      <c r="M74" s="987">
        <v>930750</v>
      </c>
      <c r="N74" s="988"/>
      <c r="O74" s="988"/>
      <c r="P74" s="990">
        <f t="shared" si="10"/>
        <v>0.93075</v>
      </c>
      <c r="Q74" s="990">
        <f t="shared" si="11"/>
        <v>0.93075</v>
      </c>
    </row>
    <row r="75" spans="1:17" s="964" customFormat="1" ht="27.75" customHeight="1">
      <c r="A75" s="941"/>
      <c r="B75" s="941"/>
      <c r="C75" s="986" t="s">
        <v>907</v>
      </c>
      <c r="D75" s="988">
        <f>E75+F75+G75</f>
        <v>200000</v>
      </c>
      <c r="E75" s="987">
        <v>200000</v>
      </c>
      <c r="F75" s="988"/>
      <c r="G75" s="989"/>
      <c r="H75" s="988">
        <f>I75+J75+K75</f>
        <v>90000</v>
      </c>
      <c r="I75" s="987">
        <v>90000</v>
      </c>
      <c r="J75" s="988"/>
      <c r="K75" s="988"/>
      <c r="L75" s="1008"/>
      <c r="M75" s="987"/>
      <c r="N75" s="988"/>
      <c r="O75" s="988"/>
      <c r="P75" s="990"/>
      <c r="Q75" s="990"/>
    </row>
    <row r="76" spans="1:17" s="964" customFormat="1" ht="21" customHeight="1">
      <c r="A76" s="941"/>
      <c r="B76" s="941"/>
      <c r="C76" s="986" t="s">
        <v>908</v>
      </c>
      <c r="D76" s="988">
        <f>E76+F76+G76</f>
        <v>200000</v>
      </c>
      <c r="E76" s="987">
        <v>200000</v>
      </c>
      <c r="F76" s="988"/>
      <c r="G76" s="989"/>
      <c r="H76" s="988">
        <f>I76+J76+K76</f>
        <v>117293</v>
      </c>
      <c r="I76" s="987">
        <v>117293</v>
      </c>
      <c r="J76" s="988"/>
      <c r="K76" s="988"/>
      <c r="L76" s="1008">
        <f aca="true" t="shared" si="13" ref="L76:L88">SUM(M76:O76)</f>
        <v>108426</v>
      </c>
      <c r="M76" s="987">
        <v>108426</v>
      </c>
      <c r="N76" s="988"/>
      <c r="O76" s="988"/>
      <c r="P76" s="990">
        <f aca="true" t="shared" si="14" ref="P76:P88">L76/H76</f>
        <v>0.924402990800815</v>
      </c>
      <c r="Q76" s="990">
        <f aca="true" t="shared" si="15" ref="Q76:Q88">M76/I76</f>
        <v>0.924402990800815</v>
      </c>
    </row>
    <row r="77" spans="1:17" s="964" customFormat="1" ht="30" customHeight="1">
      <c r="A77" s="941"/>
      <c r="B77" s="941"/>
      <c r="C77" s="986" t="s">
        <v>909</v>
      </c>
      <c r="D77" s="988">
        <f>G77+F77+E77</f>
        <v>462000</v>
      </c>
      <c r="E77" s="987">
        <f>400000+62000</f>
        <v>462000</v>
      </c>
      <c r="F77" s="988"/>
      <c r="G77" s="989"/>
      <c r="H77" s="988">
        <f>K77+J77+I77</f>
        <v>572000</v>
      </c>
      <c r="I77" s="987">
        <v>572000</v>
      </c>
      <c r="J77" s="988"/>
      <c r="K77" s="988"/>
      <c r="L77" s="1008">
        <f t="shared" si="13"/>
        <v>461996</v>
      </c>
      <c r="M77" s="987">
        <v>461996</v>
      </c>
      <c r="N77" s="988"/>
      <c r="O77" s="988"/>
      <c r="P77" s="990">
        <f t="shared" si="14"/>
        <v>0.8076853146853147</v>
      </c>
      <c r="Q77" s="990">
        <f t="shared" si="15"/>
        <v>0.8076853146853147</v>
      </c>
    </row>
    <row r="78" spans="1:17" s="964" customFormat="1" ht="21.75" customHeight="1">
      <c r="A78" s="941"/>
      <c r="B78" s="941"/>
      <c r="C78" s="993" t="s">
        <v>902</v>
      </c>
      <c r="D78" s="975"/>
      <c r="E78" s="992"/>
      <c r="F78" s="975"/>
      <c r="G78" s="993"/>
      <c r="H78" s="975">
        <f>I78</f>
        <v>12806</v>
      </c>
      <c r="I78" s="992">
        <v>12806</v>
      </c>
      <c r="J78" s="975"/>
      <c r="K78" s="975"/>
      <c r="L78" s="979">
        <f t="shared" si="13"/>
        <v>12806</v>
      </c>
      <c r="M78" s="992">
        <v>12806</v>
      </c>
      <c r="N78" s="975"/>
      <c r="O78" s="975"/>
      <c r="P78" s="994">
        <f t="shared" si="14"/>
        <v>1</v>
      </c>
      <c r="Q78" s="994">
        <f t="shared" si="15"/>
        <v>1</v>
      </c>
    </row>
    <row r="79" spans="1:17" s="964" customFormat="1" ht="21" customHeight="1">
      <c r="A79" s="941"/>
      <c r="B79" s="998"/>
      <c r="C79" s="1023" t="s">
        <v>910</v>
      </c>
      <c r="D79" s="1060"/>
      <c r="E79" s="1061">
        <f>400000+62000</f>
        <v>462000</v>
      </c>
      <c r="F79" s="1060"/>
      <c r="G79" s="1062"/>
      <c r="H79" s="1060">
        <f>K79+J79+I79</f>
        <v>446044</v>
      </c>
      <c r="I79" s="1061">
        <v>83044</v>
      </c>
      <c r="J79" s="1060">
        <v>363000</v>
      </c>
      <c r="K79" s="1060"/>
      <c r="L79" s="1063">
        <f t="shared" si="13"/>
        <v>402041</v>
      </c>
      <c r="M79" s="1061">
        <v>83043</v>
      </c>
      <c r="N79" s="1060">
        <v>318998</v>
      </c>
      <c r="O79" s="1060"/>
      <c r="P79" s="1064">
        <f t="shared" si="14"/>
        <v>0.9013482974773789</v>
      </c>
      <c r="Q79" s="1064">
        <f t="shared" si="15"/>
        <v>0.9999879581908386</v>
      </c>
    </row>
    <row r="80" spans="1:17" s="964" customFormat="1" ht="19.5" customHeight="1">
      <c r="A80" s="941"/>
      <c r="B80" s="1051">
        <v>80110</v>
      </c>
      <c r="C80" s="1065" t="s">
        <v>391</v>
      </c>
      <c r="D80" s="742">
        <f>E80+F80+G80</f>
        <v>2900000</v>
      </c>
      <c r="E80" s="1001">
        <f>SUM(E81:E83)</f>
        <v>2900000</v>
      </c>
      <c r="F80" s="1000"/>
      <c r="G80" s="1002"/>
      <c r="H80" s="742">
        <f>I80+J80+K80</f>
        <v>3202626</v>
      </c>
      <c r="I80" s="1053">
        <f>SUM(I81:I84)</f>
        <v>2802626</v>
      </c>
      <c r="J80" s="742">
        <f>J84</f>
        <v>400000</v>
      </c>
      <c r="K80" s="1000"/>
      <c r="L80" s="1054">
        <f t="shared" si="13"/>
        <v>2327045</v>
      </c>
      <c r="M80" s="1053">
        <f>SUM(M81:M84)</f>
        <v>1957213</v>
      </c>
      <c r="N80" s="742">
        <f>N84</f>
        <v>369832</v>
      </c>
      <c r="O80" s="742"/>
      <c r="P80" s="743">
        <f t="shared" si="14"/>
        <v>0.726605292032226</v>
      </c>
      <c r="Q80" s="743">
        <f t="shared" si="15"/>
        <v>0.6983496906115907</v>
      </c>
    </row>
    <row r="81" spans="1:17" s="964" customFormat="1" ht="19.5" customHeight="1">
      <c r="A81" s="941"/>
      <c r="B81" s="973"/>
      <c r="C81" s="978" t="s">
        <v>911</v>
      </c>
      <c r="D81" s="977">
        <f>E81+F81+G81</f>
        <v>1800000</v>
      </c>
      <c r="E81" s="976">
        <v>1800000</v>
      </c>
      <c r="F81" s="977"/>
      <c r="G81" s="978"/>
      <c r="H81" s="977">
        <f>I81+J81+K81</f>
        <v>1800000</v>
      </c>
      <c r="I81" s="976">
        <v>1800000</v>
      </c>
      <c r="J81" s="977"/>
      <c r="K81" s="977"/>
      <c r="L81" s="1007">
        <f t="shared" si="13"/>
        <v>1152989</v>
      </c>
      <c r="M81" s="976">
        <v>1152989</v>
      </c>
      <c r="N81" s="977"/>
      <c r="O81" s="977"/>
      <c r="P81" s="980">
        <f t="shared" si="14"/>
        <v>0.6405494444444444</v>
      </c>
      <c r="Q81" s="980">
        <f t="shared" si="15"/>
        <v>0.6405494444444444</v>
      </c>
    </row>
    <row r="82" spans="1:17" s="964" customFormat="1" ht="19.5" customHeight="1">
      <c r="A82" s="941"/>
      <c r="B82" s="941"/>
      <c r="C82" s="989" t="s">
        <v>912</v>
      </c>
      <c r="D82" s="988">
        <f>E82+F82+G82</f>
        <v>500000</v>
      </c>
      <c r="E82" s="987">
        <v>500000</v>
      </c>
      <c r="F82" s="988"/>
      <c r="G82" s="989"/>
      <c r="H82" s="988">
        <f>I82+J82+K82</f>
        <v>500000</v>
      </c>
      <c r="I82" s="987">
        <v>500000</v>
      </c>
      <c r="J82" s="988"/>
      <c r="K82" s="988"/>
      <c r="L82" s="997">
        <f t="shared" si="13"/>
        <v>301734</v>
      </c>
      <c r="M82" s="987">
        <v>301734</v>
      </c>
      <c r="N82" s="988"/>
      <c r="O82" s="988"/>
      <c r="P82" s="990">
        <f t="shared" si="14"/>
        <v>0.603468</v>
      </c>
      <c r="Q82" s="990">
        <f t="shared" si="15"/>
        <v>0.603468</v>
      </c>
    </row>
    <row r="83" spans="1:17" s="964" customFormat="1" ht="19.5" customHeight="1">
      <c r="A83" s="941"/>
      <c r="B83" s="941"/>
      <c r="C83" s="993" t="s">
        <v>908</v>
      </c>
      <c r="D83" s="975">
        <f>E83+F83+G83</f>
        <v>600000</v>
      </c>
      <c r="E83" s="992">
        <v>600000</v>
      </c>
      <c r="F83" s="975"/>
      <c r="G83" s="993"/>
      <c r="H83" s="975">
        <f>I83+J83+K83</f>
        <v>453826</v>
      </c>
      <c r="I83" s="992">
        <v>453826</v>
      </c>
      <c r="J83" s="975"/>
      <c r="K83" s="975"/>
      <c r="L83" s="979">
        <f t="shared" si="13"/>
        <v>453690</v>
      </c>
      <c r="M83" s="992">
        <v>453690</v>
      </c>
      <c r="N83" s="975"/>
      <c r="O83" s="975"/>
      <c r="P83" s="994">
        <f t="shared" si="14"/>
        <v>0.9997003256754792</v>
      </c>
      <c r="Q83" s="994">
        <f t="shared" si="15"/>
        <v>0.9997003256754792</v>
      </c>
    </row>
    <row r="84" spans="1:17" s="964" customFormat="1" ht="19.5" customHeight="1">
      <c r="A84" s="941"/>
      <c r="B84" s="998"/>
      <c r="C84" s="1023" t="s">
        <v>910</v>
      </c>
      <c r="D84" s="1060"/>
      <c r="E84" s="1061">
        <f>400000+62000</f>
        <v>462000</v>
      </c>
      <c r="F84" s="1060"/>
      <c r="G84" s="1062"/>
      <c r="H84" s="1060">
        <f>K84+J84+I84</f>
        <v>448800</v>
      </c>
      <c r="I84" s="1061">
        <v>48800</v>
      </c>
      <c r="J84" s="1060">
        <v>400000</v>
      </c>
      <c r="K84" s="1060"/>
      <c r="L84" s="1063">
        <f t="shared" si="13"/>
        <v>418632</v>
      </c>
      <c r="M84" s="1061">
        <v>48800</v>
      </c>
      <c r="N84" s="1060">
        <v>369832</v>
      </c>
      <c r="O84" s="1060"/>
      <c r="P84" s="1064">
        <f t="shared" si="14"/>
        <v>0.9327807486631016</v>
      </c>
      <c r="Q84" s="1064">
        <f t="shared" si="15"/>
        <v>1</v>
      </c>
    </row>
    <row r="85" spans="1:17" s="964" customFormat="1" ht="19.5" customHeight="1">
      <c r="A85" s="941"/>
      <c r="B85" s="1051">
        <v>80120</v>
      </c>
      <c r="C85" s="1065" t="s">
        <v>511</v>
      </c>
      <c r="D85" s="1000"/>
      <c r="E85" s="1001"/>
      <c r="F85" s="1000"/>
      <c r="G85" s="1002"/>
      <c r="H85" s="742">
        <f>I85</f>
        <v>29155</v>
      </c>
      <c r="I85" s="1053">
        <f>I86</f>
        <v>29155</v>
      </c>
      <c r="J85" s="1000"/>
      <c r="K85" s="1000"/>
      <c r="L85" s="1054">
        <f t="shared" si="13"/>
        <v>20919</v>
      </c>
      <c r="M85" s="1053">
        <f>M86</f>
        <v>20919</v>
      </c>
      <c r="N85" s="742"/>
      <c r="O85" s="742"/>
      <c r="P85" s="1066">
        <f t="shared" si="14"/>
        <v>0.7175098610872921</v>
      </c>
      <c r="Q85" s="1066">
        <f t="shared" si="15"/>
        <v>0.7175098610872921</v>
      </c>
    </row>
    <row r="86" spans="1:17" s="964" customFormat="1" ht="19.5" customHeight="1">
      <c r="A86" s="941"/>
      <c r="B86" s="998"/>
      <c r="C86" s="1002" t="s">
        <v>902</v>
      </c>
      <c r="D86" s="1000"/>
      <c r="E86" s="1001"/>
      <c r="F86" s="1000"/>
      <c r="G86" s="1002"/>
      <c r="H86" s="1000">
        <f>I86</f>
        <v>29155</v>
      </c>
      <c r="I86" s="1001">
        <v>29155</v>
      </c>
      <c r="J86" s="1000"/>
      <c r="K86" s="1000"/>
      <c r="L86" s="1003">
        <f t="shared" si="13"/>
        <v>20919</v>
      </c>
      <c r="M86" s="1001">
        <v>20919</v>
      </c>
      <c r="N86" s="1000"/>
      <c r="O86" s="1000"/>
      <c r="P86" s="1064">
        <f t="shared" si="14"/>
        <v>0.7175098610872921</v>
      </c>
      <c r="Q86" s="1064">
        <f t="shared" si="15"/>
        <v>0.7175098610872921</v>
      </c>
    </row>
    <row r="87" spans="1:17" s="957" customFormat="1" ht="19.5" customHeight="1">
      <c r="A87" s="965"/>
      <c r="B87" s="1055">
        <v>80130</v>
      </c>
      <c r="C87" s="1048" t="s">
        <v>514</v>
      </c>
      <c r="D87" s="1041">
        <f>E87+F87+G87</f>
        <v>1200000</v>
      </c>
      <c r="E87" s="1042">
        <f>SUM(E88:E89)</f>
        <v>200000</v>
      </c>
      <c r="F87" s="1041">
        <f>SUM(F88:F89)</f>
        <v>1000000</v>
      </c>
      <c r="G87" s="1040"/>
      <c r="H87" s="1041">
        <f aca="true" t="shared" si="16" ref="H87:H93">I87+J87+K87</f>
        <v>4118513</v>
      </c>
      <c r="I87" s="1042">
        <f>SUM(I88:I90)</f>
        <v>1068513</v>
      </c>
      <c r="J87" s="1041">
        <f>SUM(J88:J90)</f>
        <v>3050000</v>
      </c>
      <c r="K87" s="1041"/>
      <c r="L87" s="1049">
        <f t="shared" si="13"/>
        <v>3931026</v>
      </c>
      <c r="M87" s="1042">
        <f>M88+M90</f>
        <v>891501</v>
      </c>
      <c r="N87" s="1041">
        <f>N88</f>
        <v>3039525</v>
      </c>
      <c r="O87" s="1041"/>
      <c r="P87" s="1050">
        <f t="shared" si="14"/>
        <v>0.9544770163406064</v>
      </c>
      <c r="Q87" s="1066">
        <f t="shared" si="15"/>
        <v>0.8343380005671434</v>
      </c>
    </row>
    <row r="88" spans="1:17" s="964" customFormat="1" ht="19.5" customHeight="1">
      <c r="A88" s="941"/>
      <c r="B88" s="973"/>
      <c r="C88" s="978" t="s">
        <v>913</v>
      </c>
      <c r="D88" s="977">
        <f>E88+F88+G88</f>
        <v>1000000</v>
      </c>
      <c r="E88" s="976"/>
      <c r="F88" s="977">
        <v>1000000</v>
      </c>
      <c r="G88" s="978"/>
      <c r="H88" s="977">
        <f t="shared" si="16"/>
        <v>3971000</v>
      </c>
      <c r="I88" s="976">
        <v>921000</v>
      </c>
      <c r="J88" s="977">
        <v>3050000</v>
      </c>
      <c r="K88" s="977"/>
      <c r="L88" s="1007">
        <f t="shared" si="13"/>
        <v>3922525</v>
      </c>
      <c r="M88" s="976">
        <v>883000</v>
      </c>
      <c r="N88" s="977">
        <v>3039525</v>
      </c>
      <c r="O88" s="977"/>
      <c r="P88" s="980">
        <f t="shared" si="14"/>
        <v>0.9877927474187862</v>
      </c>
      <c r="Q88" s="737">
        <f t="shared" si="15"/>
        <v>0.9587404994571118</v>
      </c>
    </row>
    <row r="89" spans="1:17" s="964" customFormat="1" ht="19.5" customHeight="1">
      <c r="A89" s="941"/>
      <c r="B89" s="941"/>
      <c r="C89" s="989" t="s">
        <v>914</v>
      </c>
      <c r="D89" s="988">
        <f>E89+F89+G89</f>
        <v>200000</v>
      </c>
      <c r="E89" s="987">
        <v>200000</v>
      </c>
      <c r="F89" s="988"/>
      <c r="G89" s="989"/>
      <c r="H89" s="988">
        <f t="shared" si="16"/>
        <v>139000</v>
      </c>
      <c r="I89" s="987">
        <v>139000</v>
      </c>
      <c r="J89" s="988"/>
      <c r="K89" s="988"/>
      <c r="L89" s="997"/>
      <c r="M89" s="987"/>
      <c r="N89" s="988"/>
      <c r="O89" s="988"/>
      <c r="P89" s="990"/>
      <c r="Q89" s="985"/>
    </row>
    <row r="90" spans="1:17" s="964" customFormat="1" ht="19.5" customHeight="1">
      <c r="A90" s="941"/>
      <c r="B90" s="941"/>
      <c r="C90" s="1002" t="s">
        <v>902</v>
      </c>
      <c r="D90" s="1000"/>
      <c r="E90" s="1001"/>
      <c r="F90" s="1000"/>
      <c r="G90" s="1002"/>
      <c r="H90" s="1000">
        <f t="shared" si="16"/>
        <v>8513</v>
      </c>
      <c r="I90" s="1001">
        <v>8513</v>
      </c>
      <c r="J90" s="1000"/>
      <c r="K90" s="1000"/>
      <c r="L90" s="1003">
        <f>SUM(M90:O90)</f>
        <v>8501</v>
      </c>
      <c r="M90" s="1001">
        <v>8501</v>
      </c>
      <c r="N90" s="1000"/>
      <c r="O90" s="1000"/>
      <c r="P90" s="1004">
        <f aca="true" t="shared" si="17" ref="P90:P115">L90/H90</f>
        <v>0.9985903911664513</v>
      </c>
      <c r="Q90" s="1004">
        <f aca="true" t="shared" si="18" ref="Q90:Q115">M90/I90</f>
        <v>0.9985903911664513</v>
      </c>
    </row>
    <row r="91" spans="1:17" s="964" customFormat="1" ht="19.5" customHeight="1">
      <c r="A91" s="958">
        <v>851</v>
      </c>
      <c r="B91" s="958"/>
      <c r="C91" s="1028" t="s">
        <v>393</v>
      </c>
      <c r="D91" s="1029">
        <f>E91+F91+G91</f>
        <v>300000</v>
      </c>
      <c r="E91" s="1030">
        <f>E92</f>
        <v>300000</v>
      </c>
      <c r="F91" s="1029"/>
      <c r="G91" s="1028"/>
      <c r="H91" s="1029">
        <f t="shared" si="16"/>
        <v>1173134</v>
      </c>
      <c r="I91" s="1030">
        <f>I92+I94</f>
        <v>1173134</v>
      </c>
      <c r="J91" s="1029"/>
      <c r="K91" s="1029"/>
      <c r="L91" s="1031">
        <f>SUM(M91:O91)</f>
        <v>1132726</v>
      </c>
      <c r="M91" s="1030">
        <f>M92+M94</f>
        <v>1132726</v>
      </c>
      <c r="N91" s="1029"/>
      <c r="O91" s="1029"/>
      <c r="P91" s="1032">
        <f t="shared" si="17"/>
        <v>0.9655555119875479</v>
      </c>
      <c r="Q91" s="1032">
        <f t="shared" si="18"/>
        <v>0.9655555119875479</v>
      </c>
    </row>
    <row r="92" spans="1:17" s="957" customFormat="1" ht="19.5" customHeight="1">
      <c r="A92" s="1044"/>
      <c r="B92" s="1005">
        <v>85121</v>
      </c>
      <c r="C92" s="970" t="s">
        <v>692</v>
      </c>
      <c r="D92" s="968">
        <f>E92+F92+G92</f>
        <v>300000</v>
      </c>
      <c r="E92" s="969">
        <f>E93</f>
        <v>300000</v>
      </c>
      <c r="F92" s="968"/>
      <c r="G92" s="970"/>
      <c r="H92" s="968">
        <f t="shared" si="16"/>
        <v>566000</v>
      </c>
      <c r="I92" s="969">
        <f>I93</f>
        <v>566000</v>
      </c>
      <c r="J92" s="968"/>
      <c r="K92" s="968"/>
      <c r="L92" s="971">
        <f>SUM(M92:O92)</f>
        <v>565815</v>
      </c>
      <c r="M92" s="969">
        <f>M93</f>
        <v>565815</v>
      </c>
      <c r="N92" s="968"/>
      <c r="O92" s="968"/>
      <c r="P92" s="972">
        <f t="shared" si="17"/>
        <v>0.9996731448763251</v>
      </c>
      <c r="Q92" s="972">
        <f t="shared" si="18"/>
        <v>0.9996731448763251</v>
      </c>
    </row>
    <row r="93" spans="1:17" s="964" customFormat="1" ht="27.75" customHeight="1">
      <c r="A93" s="998"/>
      <c r="B93" s="998"/>
      <c r="C93" s="999" t="s">
        <v>915</v>
      </c>
      <c r="D93" s="1000">
        <f>E93+F93+G93</f>
        <v>300000</v>
      </c>
      <c r="E93" s="1001">
        <v>300000</v>
      </c>
      <c r="F93" s="1000"/>
      <c r="G93" s="1002"/>
      <c r="H93" s="1000">
        <f t="shared" si="16"/>
        <v>566000</v>
      </c>
      <c r="I93" s="1001">
        <v>566000</v>
      </c>
      <c r="J93" s="1000"/>
      <c r="K93" s="1000"/>
      <c r="L93" s="1003">
        <f>SUM(M93:O93)</f>
        <v>565815</v>
      </c>
      <c r="M93" s="1001">
        <v>565815</v>
      </c>
      <c r="N93" s="1000"/>
      <c r="O93" s="1000"/>
      <c r="P93" s="1004">
        <f t="shared" si="17"/>
        <v>0.9996731448763251</v>
      </c>
      <c r="Q93" s="1004">
        <f t="shared" si="18"/>
        <v>0.9996731448763251</v>
      </c>
    </row>
    <row r="94" spans="1:17" s="964" customFormat="1" ht="20.25" customHeight="1">
      <c r="A94" s="941"/>
      <c r="B94" s="1051">
        <v>85154</v>
      </c>
      <c r="C94" s="1067" t="s">
        <v>699</v>
      </c>
      <c r="D94" s="1000"/>
      <c r="E94" s="1001"/>
      <c r="F94" s="1000"/>
      <c r="G94" s="1002"/>
      <c r="H94" s="742">
        <f>SUM(H95:H96)</f>
        <v>607134</v>
      </c>
      <c r="I94" s="742">
        <f>SUM(I95:I96)</f>
        <v>607134</v>
      </c>
      <c r="J94" s="1000"/>
      <c r="K94" s="1000"/>
      <c r="L94" s="1054">
        <f>SUM(M94:O94)</f>
        <v>566911</v>
      </c>
      <c r="M94" s="1053">
        <f>M96+M95</f>
        <v>566911</v>
      </c>
      <c r="N94" s="742"/>
      <c r="O94" s="742"/>
      <c r="P94" s="743">
        <f t="shared" si="17"/>
        <v>0.9337493864616377</v>
      </c>
      <c r="Q94" s="743">
        <f t="shared" si="18"/>
        <v>0.9337493864616377</v>
      </c>
    </row>
    <row r="95" spans="1:17" s="964" customFormat="1" ht="20.25" customHeight="1">
      <c r="A95" s="941"/>
      <c r="B95" s="973"/>
      <c r="C95" s="1006" t="s">
        <v>916</v>
      </c>
      <c r="D95" s="977"/>
      <c r="E95" s="976"/>
      <c r="F95" s="977"/>
      <c r="G95" s="978"/>
      <c r="H95" s="977">
        <f>I95</f>
        <v>530000</v>
      </c>
      <c r="I95" s="976">
        <v>530000</v>
      </c>
      <c r="J95" s="977"/>
      <c r="K95" s="977"/>
      <c r="L95" s="1007">
        <f>M95</f>
        <v>530000</v>
      </c>
      <c r="M95" s="976">
        <v>530000</v>
      </c>
      <c r="N95" s="977"/>
      <c r="O95" s="977"/>
      <c r="P95" s="737">
        <f t="shared" si="17"/>
        <v>1</v>
      </c>
      <c r="Q95" s="737">
        <f t="shared" si="18"/>
        <v>1</v>
      </c>
    </row>
    <row r="96" spans="1:17" s="964" customFormat="1" ht="20.25" customHeight="1">
      <c r="A96" s="998"/>
      <c r="B96" s="998"/>
      <c r="C96" s="999" t="s">
        <v>902</v>
      </c>
      <c r="D96" s="1000"/>
      <c r="E96" s="1001"/>
      <c r="F96" s="1000"/>
      <c r="G96" s="1002"/>
      <c r="H96" s="984">
        <f>I96</f>
        <v>77134</v>
      </c>
      <c r="I96" s="1001">
        <v>77134</v>
      </c>
      <c r="J96" s="1000"/>
      <c r="K96" s="1000"/>
      <c r="L96" s="1003">
        <f aca="true" t="shared" si="19" ref="L96:L115">SUM(M96:O96)</f>
        <v>36911</v>
      </c>
      <c r="M96" s="1001">
        <v>36911</v>
      </c>
      <c r="N96" s="1000"/>
      <c r="O96" s="1000"/>
      <c r="P96" s="1004">
        <f t="shared" si="17"/>
        <v>0.47853086835895975</v>
      </c>
      <c r="Q96" s="1004">
        <f t="shared" si="18"/>
        <v>0.47853086835895975</v>
      </c>
    </row>
    <row r="97" spans="1:17" s="964" customFormat="1" ht="21" customHeight="1">
      <c r="A97" s="1057">
        <v>853</v>
      </c>
      <c r="B97" s="958"/>
      <c r="C97" s="1028" t="s">
        <v>395</v>
      </c>
      <c r="D97" s="1029">
        <f>E97+F97+G97</f>
        <v>1220000</v>
      </c>
      <c r="E97" s="1030">
        <f>E98+E101</f>
        <v>1220000</v>
      </c>
      <c r="F97" s="1029"/>
      <c r="G97" s="1028"/>
      <c r="H97" s="1029">
        <f>I97+J97+K97</f>
        <v>1206328</v>
      </c>
      <c r="I97" s="1030">
        <f>I98+I101</f>
        <v>1165300</v>
      </c>
      <c r="J97" s="1030">
        <f>J98+J101</f>
        <v>41028</v>
      </c>
      <c r="K97" s="1029"/>
      <c r="L97" s="1031">
        <f t="shared" si="19"/>
        <v>1008255</v>
      </c>
      <c r="M97" s="1030">
        <f>M98+M101</f>
        <v>967227</v>
      </c>
      <c r="N97" s="1030">
        <f>N98+N101</f>
        <v>41028</v>
      </c>
      <c r="O97" s="1029"/>
      <c r="P97" s="1032">
        <f t="shared" si="17"/>
        <v>0.835805021519852</v>
      </c>
      <c r="Q97" s="1032">
        <f t="shared" si="18"/>
        <v>0.8300240281472582</v>
      </c>
    </row>
    <row r="98" spans="1:17" s="957" customFormat="1" ht="24" customHeight="1">
      <c r="A98" s="965"/>
      <c r="B98" s="951">
        <v>85302</v>
      </c>
      <c r="C98" s="1040" t="s">
        <v>523</v>
      </c>
      <c r="D98" s="1041">
        <f>E98+F98+G98</f>
        <v>1120000</v>
      </c>
      <c r="E98" s="1042">
        <f>E99</f>
        <v>1120000</v>
      </c>
      <c r="F98" s="1041"/>
      <c r="G98" s="1040"/>
      <c r="H98" s="1041">
        <f>I98+J98+K98</f>
        <v>1168328</v>
      </c>
      <c r="I98" s="1042">
        <f>I99+I100</f>
        <v>1127300</v>
      </c>
      <c r="J98" s="1042">
        <f>J99+J100</f>
        <v>41028</v>
      </c>
      <c r="K98" s="1041"/>
      <c r="L98" s="1049">
        <f t="shared" si="19"/>
        <v>970255</v>
      </c>
      <c r="M98" s="1042">
        <f>SUM(M99:M100)</f>
        <v>929227</v>
      </c>
      <c r="N98" s="1042">
        <f>SUM(N99:N100)</f>
        <v>41028</v>
      </c>
      <c r="O98" s="1041"/>
      <c r="P98" s="1050">
        <f t="shared" si="17"/>
        <v>0.8304645613218206</v>
      </c>
      <c r="Q98" s="1050">
        <f t="shared" si="18"/>
        <v>0.8242943315887519</v>
      </c>
    </row>
    <row r="99" spans="1:17" s="1068" customFormat="1" ht="21" customHeight="1">
      <c r="A99" s="941"/>
      <c r="B99" s="973"/>
      <c r="C99" s="978" t="s">
        <v>917</v>
      </c>
      <c r="D99" s="977">
        <f>E99+F99+G99</f>
        <v>1120000</v>
      </c>
      <c r="E99" s="976">
        <v>1120000</v>
      </c>
      <c r="F99" s="977"/>
      <c r="G99" s="978"/>
      <c r="H99" s="977">
        <f>I99+J99+K99</f>
        <v>1161028</v>
      </c>
      <c r="I99" s="976">
        <v>1120000</v>
      </c>
      <c r="J99" s="977">
        <v>41028</v>
      </c>
      <c r="K99" s="977"/>
      <c r="L99" s="1007">
        <f t="shared" si="19"/>
        <v>962956</v>
      </c>
      <c r="M99" s="976">
        <v>921928</v>
      </c>
      <c r="N99" s="977">
        <v>41028</v>
      </c>
      <c r="O99" s="977"/>
      <c r="P99" s="980">
        <f t="shared" si="17"/>
        <v>0.8293994632343061</v>
      </c>
      <c r="Q99" s="980">
        <f t="shared" si="18"/>
        <v>0.82315</v>
      </c>
    </row>
    <row r="100" spans="1:17" s="950" customFormat="1" ht="18.75" customHeight="1">
      <c r="A100" s="941"/>
      <c r="B100" s="998"/>
      <c r="C100" s="1002" t="s">
        <v>902</v>
      </c>
      <c r="D100" s="1000"/>
      <c r="E100" s="1001"/>
      <c r="F100" s="1000"/>
      <c r="G100" s="1002"/>
      <c r="H100" s="1000">
        <f>I100</f>
        <v>7300</v>
      </c>
      <c r="I100" s="1001">
        <v>7300</v>
      </c>
      <c r="J100" s="1000"/>
      <c r="K100" s="1000"/>
      <c r="L100" s="1003">
        <f t="shared" si="19"/>
        <v>7299</v>
      </c>
      <c r="M100" s="1001">
        <v>7299</v>
      </c>
      <c r="N100" s="1000"/>
      <c r="O100" s="1000"/>
      <c r="P100" s="985">
        <f t="shared" si="17"/>
        <v>0.9998630136986302</v>
      </c>
      <c r="Q100" s="985">
        <f t="shared" si="18"/>
        <v>0.9998630136986302</v>
      </c>
    </row>
    <row r="101" spans="1:17" s="950" customFormat="1" ht="21" customHeight="1">
      <c r="A101" s="941"/>
      <c r="B101" s="1069">
        <v>85319</v>
      </c>
      <c r="C101" s="1070" t="s">
        <v>404</v>
      </c>
      <c r="D101" s="712">
        <f>D102</f>
        <v>100000</v>
      </c>
      <c r="E101" s="723">
        <f>E102</f>
        <v>100000</v>
      </c>
      <c r="F101" s="712"/>
      <c r="G101" s="1070"/>
      <c r="H101" s="712">
        <f>H102</f>
        <v>38000</v>
      </c>
      <c r="I101" s="723">
        <f>I102</f>
        <v>38000</v>
      </c>
      <c r="J101" s="712"/>
      <c r="K101" s="712"/>
      <c r="L101" s="1043">
        <f t="shared" si="19"/>
        <v>38000</v>
      </c>
      <c r="M101" s="723">
        <f>M102</f>
        <v>38000</v>
      </c>
      <c r="N101" s="712"/>
      <c r="O101" s="712"/>
      <c r="P101" s="713">
        <f t="shared" si="17"/>
        <v>1</v>
      </c>
      <c r="Q101" s="713">
        <f t="shared" si="18"/>
        <v>1</v>
      </c>
    </row>
    <row r="102" spans="1:17" s="950" customFormat="1" ht="18.75" customHeight="1">
      <c r="A102" s="998"/>
      <c r="B102" s="1033"/>
      <c r="C102" s="1037" t="s">
        <v>918</v>
      </c>
      <c r="D102" s="1035">
        <f>E102+F102+G102</f>
        <v>100000</v>
      </c>
      <c r="E102" s="1036">
        <v>100000</v>
      </c>
      <c r="F102" s="1035"/>
      <c r="G102" s="1037"/>
      <c r="H102" s="1035">
        <f>I102+J102+K102</f>
        <v>38000</v>
      </c>
      <c r="I102" s="1036">
        <v>38000</v>
      </c>
      <c r="J102" s="1035"/>
      <c r="K102" s="1035"/>
      <c r="L102" s="1038">
        <f t="shared" si="19"/>
        <v>38000</v>
      </c>
      <c r="M102" s="1036">
        <v>38000</v>
      </c>
      <c r="N102" s="1035"/>
      <c r="O102" s="1035"/>
      <c r="P102" s="1039">
        <f t="shared" si="17"/>
        <v>1</v>
      </c>
      <c r="Q102" s="1039">
        <f t="shared" si="18"/>
        <v>1</v>
      </c>
    </row>
    <row r="103" spans="1:17" s="964" customFormat="1" ht="22.5" customHeight="1">
      <c r="A103" s="1057">
        <v>854</v>
      </c>
      <c r="B103" s="958"/>
      <c r="C103" s="1028" t="s">
        <v>408</v>
      </c>
      <c r="D103" s="1029">
        <f>E103+F103+G103</f>
        <v>189000</v>
      </c>
      <c r="E103" s="1030">
        <f>E104</f>
        <v>189000</v>
      </c>
      <c r="F103" s="1029"/>
      <c r="G103" s="1028"/>
      <c r="H103" s="1029">
        <f>I103+J103+K103</f>
        <v>239327</v>
      </c>
      <c r="I103" s="1030">
        <f>I104+I110+I108+I106</f>
        <v>239327</v>
      </c>
      <c r="J103" s="1029"/>
      <c r="K103" s="1029"/>
      <c r="L103" s="1031">
        <f t="shared" si="19"/>
        <v>238943</v>
      </c>
      <c r="M103" s="1030">
        <f>M104+M106+M108+M110</f>
        <v>238943</v>
      </c>
      <c r="N103" s="1029"/>
      <c r="O103" s="1029"/>
      <c r="P103" s="1032">
        <f t="shared" si="17"/>
        <v>0.9983955007165928</v>
      </c>
      <c r="Q103" s="1032">
        <f t="shared" si="18"/>
        <v>0.9983955007165928</v>
      </c>
    </row>
    <row r="104" spans="1:17" s="957" customFormat="1" ht="23.25" customHeight="1">
      <c r="A104" s="965"/>
      <c r="B104" s="966">
        <v>85403</v>
      </c>
      <c r="C104" s="967" t="s">
        <v>529</v>
      </c>
      <c r="D104" s="968">
        <f>E104+F104+G104</f>
        <v>189000</v>
      </c>
      <c r="E104" s="969">
        <f>E105</f>
        <v>189000</v>
      </c>
      <c r="F104" s="968"/>
      <c r="G104" s="970"/>
      <c r="H104" s="968">
        <f>I104+J104+K104</f>
        <v>189000</v>
      </c>
      <c r="I104" s="969">
        <f>I105</f>
        <v>189000</v>
      </c>
      <c r="J104" s="968"/>
      <c r="K104" s="968"/>
      <c r="L104" s="971">
        <f t="shared" si="19"/>
        <v>188616</v>
      </c>
      <c r="M104" s="969">
        <f>M105</f>
        <v>188616</v>
      </c>
      <c r="N104" s="968"/>
      <c r="O104" s="968"/>
      <c r="P104" s="972">
        <f t="shared" si="17"/>
        <v>0.997968253968254</v>
      </c>
      <c r="Q104" s="972">
        <f t="shared" si="18"/>
        <v>0.997968253968254</v>
      </c>
    </row>
    <row r="105" spans="1:17" s="964" customFormat="1" ht="20.25" customHeight="1">
      <c r="A105" s="941"/>
      <c r="B105" s="1033"/>
      <c r="C105" s="1037" t="s">
        <v>917</v>
      </c>
      <c r="D105" s="1035">
        <f>E105+F105+G105</f>
        <v>189000</v>
      </c>
      <c r="E105" s="1036">
        <f>81000+108000</f>
        <v>189000</v>
      </c>
      <c r="F105" s="1035"/>
      <c r="G105" s="1037"/>
      <c r="H105" s="1035">
        <f>I105+J105+K105</f>
        <v>189000</v>
      </c>
      <c r="I105" s="1036">
        <f>81000+108000</f>
        <v>189000</v>
      </c>
      <c r="J105" s="1035"/>
      <c r="K105" s="1035"/>
      <c r="L105" s="1038">
        <f t="shared" si="19"/>
        <v>188616</v>
      </c>
      <c r="M105" s="1036">
        <v>188616</v>
      </c>
      <c r="N105" s="1035"/>
      <c r="O105" s="1035"/>
      <c r="P105" s="1039">
        <f t="shared" si="17"/>
        <v>0.997968253968254</v>
      </c>
      <c r="Q105" s="1039">
        <f t="shared" si="18"/>
        <v>0.997968253968254</v>
      </c>
    </row>
    <row r="106" spans="1:17" s="964" customFormat="1" ht="20.25" customHeight="1">
      <c r="A106" s="941"/>
      <c r="B106" s="1051">
        <v>85404</v>
      </c>
      <c r="C106" s="1065" t="s">
        <v>919</v>
      </c>
      <c r="D106" s="1000"/>
      <c r="E106" s="1001"/>
      <c r="F106" s="1000"/>
      <c r="G106" s="1002"/>
      <c r="H106" s="742">
        <f>I106</f>
        <v>4800</v>
      </c>
      <c r="I106" s="1053">
        <f>I107</f>
        <v>4800</v>
      </c>
      <c r="J106" s="1000"/>
      <c r="K106" s="1000"/>
      <c r="L106" s="1054">
        <f t="shared" si="19"/>
        <v>4800</v>
      </c>
      <c r="M106" s="1053">
        <f>M107</f>
        <v>4800</v>
      </c>
      <c r="N106" s="1000"/>
      <c r="O106" s="1000"/>
      <c r="P106" s="713">
        <f t="shared" si="17"/>
        <v>1</v>
      </c>
      <c r="Q106" s="713">
        <f t="shared" si="18"/>
        <v>1</v>
      </c>
    </row>
    <row r="107" spans="1:17" s="964" customFormat="1" ht="20.25" customHeight="1">
      <c r="A107" s="941"/>
      <c r="B107" s="998"/>
      <c r="C107" s="1002" t="s">
        <v>902</v>
      </c>
      <c r="D107" s="1000"/>
      <c r="E107" s="1001"/>
      <c r="F107" s="1000"/>
      <c r="G107" s="1002"/>
      <c r="H107" s="1000">
        <f>I107</f>
        <v>4800</v>
      </c>
      <c r="I107" s="1001">
        <v>4800</v>
      </c>
      <c r="J107" s="1000"/>
      <c r="K107" s="1000"/>
      <c r="L107" s="1003">
        <f t="shared" si="19"/>
        <v>4800</v>
      </c>
      <c r="M107" s="1001">
        <v>4800</v>
      </c>
      <c r="N107" s="1000"/>
      <c r="O107" s="1000"/>
      <c r="P107" s="1039">
        <f t="shared" si="17"/>
        <v>1</v>
      </c>
      <c r="Q107" s="1039">
        <f t="shared" si="18"/>
        <v>1</v>
      </c>
    </row>
    <row r="108" spans="1:17" s="964" customFormat="1" ht="20.25" customHeight="1">
      <c r="A108" s="941"/>
      <c r="B108" s="1051">
        <v>85410</v>
      </c>
      <c r="C108" s="1065" t="s">
        <v>534</v>
      </c>
      <c r="D108" s="1000"/>
      <c r="E108" s="1001"/>
      <c r="F108" s="1000"/>
      <c r="G108" s="1002"/>
      <c r="H108" s="742">
        <f>I108</f>
        <v>9800</v>
      </c>
      <c r="I108" s="1053">
        <f>I109</f>
        <v>9800</v>
      </c>
      <c r="J108" s="1000"/>
      <c r="K108" s="1000"/>
      <c r="L108" s="1054">
        <f t="shared" si="19"/>
        <v>9800</v>
      </c>
      <c r="M108" s="1053">
        <f>M109</f>
        <v>9800</v>
      </c>
      <c r="N108" s="1000"/>
      <c r="O108" s="1000"/>
      <c r="P108" s="713">
        <f t="shared" si="17"/>
        <v>1</v>
      </c>
      <c r="Q108" s="713">
        <f t="shared" si="18"/>
        <v>1</v>
      </c>
    </row>
    <row r="109" spans="1:17" s="964" customFormat="1" ht="20.25" customHeight="1">
      <c r="A109" s="941"/>
      <c r="B109" s="998"/>
      <c r="C109" s="1002" t="s">
        <v>902</v>
      </c>
      <c r="D109" s="1000"/>
      <c r="E109" s="1001"/>
      <c r="F109" s="1000"/>
      <c r="G109" s="1002"/>
      <c r="H109" s="1000">
        <f>I109</f>
        <v>9800</v>
      </c>
      <c r="I109" s="1001">
        <v>9800</v>
      </c>
      <c r="J109" s="1000"/>
      <c r="K109" s="1000"/>
      <c r="L109" s="1003">
        <f t="shared" si="19"/>
        <v>9800</v>
      </c>
      <c r="M109" s="1001">
        <v>9800</v>
      </c>
      <c r="N109" s="1000"/>
      <c r="O109" s="1000"/>
      <c r="P109" s="1039">
        <f t="shared" si="17"/>
        <v>1</v>
      </c>
      <c r="Q109" s="1039">
        <f t="shared" si="18"/>
        <v>1</v>
      </c>
    </row>
    <row r="110" spans="1:17" s="964" customFormat="1" ht="20.25" customHeight="1">
      <c r="A110" s="941"/>
      <c r="B110" s="1051">
        <v>85495</v>
      </c>
      <c r="C110" s="1065" t="s">
        <v>314</v>
      </c>
      <c r="D110" s="1000"/>
      <c r="E110" s="1001"/>
      <c r="F110" s="1000"/>
      <c r="G110" s="1002"/>
      <c r="H110" s="742">
        <f>H111</f>
        <v>35727</v>
      </c>
      <c r="I110" s="1053">
        <f>I111</f>
        <v>35727</v>
      </c>
      <c r="J110" s="1000"/>
      <c r="K110" s="1000"/>
      <c r="L110" s="1054">
        <f t="shared" si="19"/>
        <v>35727</v>
      </c>
      <c r="M110" s="1053">
        <f>M111</f>
        <v>35727</v>
      </c>
      <c r="N110" s="1000"/>
      <c r="O110" s="1000"/>
      <c r="P110" s="713">
        <f t="shared" si="17"/>
        <v>1</v>
      </c>
      <c r="Q110" s="713">
        <f t="shared" si="18"/>
        <v>1</v>
      </c>
    </row>
    <row r="111" spans="1:17" s="964" customFormat="1" ht="20.25" customHeight="1">
      <c r="A111" s="998"/>
      <c r="B111" s="998"/>
      <c r="C111" s="1002" t="s">
        <v>902</v>
      </c>
      <c r="D111" s="1000"/>
      <c r="E111" s="1001"/>
      <c r="F111" s="1000"/>
      <c r="G111" s="1002"/>
      <c r="H111" s="1000">
        <f>I111</f>
        <v>35727</v>
      </c>
      <c r="I111" s="1001">
        <v>35727</v>
      </c>
      <c r="J111" s="1000"/>
      <c r="K111" s="1000"/>
      <c r="L111" s="1003">
        <f t="shared" si="19"/>
        <v>35727</v>
      </c>
      <c r="M111" s="1001">
        <v>35727</v>
      </c>
      <c r="N111" s="1000"/>
      <c r="O111" s="1000"/>
      <c r="P111" s="1039">
        <f t="shared" si="17"/>
        <v>1</v>
      </c>
      <c r="Q111" s="1039">
        <f t="shared" si="18"/>
        <v>1</v>
      </c>
    </row>
    <row r="112" spans="1:17" s="964" customFormat="1" ht="32.25" customHeight="1">
      <c r="A112" s="1056">
        <v>900</v>
      </c>
      <c r="B112" s="1057"/>
      <c r="C112" s="1058" t="s">
        <v>413</v>
      </c>
      <c r="D112" s="960">
        <f>E112+F112+G112</f>
        <v>7091000</v>
      </c>
      <c r="E112" s="961">
        <f>E113+E122+E126</f>
        <v>4785000</v>
      </c>
      <c r="F112" s="960">
        <f>F113+F122+F126</f>
        <v>1650000</v>
      </c>
      <c r="G112" s="959">
        <f>G113+G122+G126</f>
        <v>656000</v>
      </c>
      <c r="H112" s="960">
        <f>I112+J112+K112</f>
        <v>9880650</v>
      </c>
      <c r="I112" s="961">
        <f>I113+I124+I126</f>
        <v>5131650</v>
      </c>
      <c r="J112" s="960">
        <f>J113+J122+J126</f>
        <v>4093000</v>
      </c>
      <c r="K112" s="960">
        <f>K113+K122+K126</f>
        <v>656000</v>
      </c>
      <c r="L112" s="962">
        <f t="shared" si="19"/>
        <v>8378008</v>
      </c>
      <c r="M112" s="961">
        <f>M113+M122+M124+M126</f>
        <v>4156149</v>
      </c>
      <c r="N112" s="961">
        <f>N113+N122+N124+N126</f>
        <v>3971119</v>
      </c>
      <c r="O112" s="961">
        <f>O113+O122+O124+O126</f>
        <v>250740</v>
      </c>
      <c r="P112" s="963">
        <f t="shared" si="17"/>
        <v>0.8479207339598104</v>
      </c>
      <c r="Q112" s="963">
        <f t="shared" si="18"/>
        <v>0.8099050013153664</v>
      </c>
    </row>
    <row r="113" spans="1:17" s="957" customFormat="1" ht="23.25" customHeight="1">
      <c r="A113" s="965"/>
      <c r="B113" s="1055">
        <v>90001</v>
      </c>
      <c r="C113" s="1048" t="s">
        <v>732</v>
      </c>
      <c r="D113" s="1041">
        <f>E113+F113+G113</f>
        <v>1918000</v>
      </c>
      <c r="E113" s="1042">
        <f>SUM(E114:E119)</f>
        <v>968000</v>
      </c>
      <c r="F113" s="1041">
        <f>SUM(F114:F118)</f>
        <v>950000</v>
      </c>
      <c r="G113" s="1040"/>
      <c r="H113" s="1041">
        <f>I113+J113+K113</f>
        <v>2508000</v>
      </c>
      <c r="I113" s="1042">
        <f>SUM(I114:I120)</f>
        <v>868000</v>
      </c>
      <c r="J113" s="1041">
        <f>SUM(J114:J121)</f>
        <v>1640000</v>
      </c>
      <c r="K113" s="1041"/>
      <c r="L113" s="1049">
        <f t="shared" si="19"/>
        <v>2301352</v>
      </c>
      <c r="M113" s="1042">
        <f>SUM(M114:M120)</f>
        <v>661352</v>
      </c>
      <c r="N113" s="1042">
        <f>SUM(N114:N121)</f>
        <v>1640000</v>
      </c>
      <c r="O113" s="1041"/>
      <c r="P113" s="1050">
        <f t="shared" si="17"/>
        <v>0.9176044657097289</v>
      </c>
      <c r="Q113" s="1050">
        <f t="shared" si="18"/>
        <v>0.761926267281106</v>
      </c>
    </row>
    <row r="114" spans="1:17" s="964" customFormat="1" ht="21" customHeight="1">
      <c r="A114" s="941"/>
      <c r="B114" s="941"/>
      <c r="C114" s="989" t="s">
        <v>920</v>
      </c>
      <c r="D114" s="988">
        <f>E114+F114+G114</f>
        <v>1550000</v>
      </c>
      <c r="E114" s="987">
        <v>600000</v>
      </c>
      <c r="F114" s="988">
        <f>450000+500000</f>
        <v>950000</v>
      </c>
      <c r="G114" s="989"/>
      <c r="H114" s="988">
        <f>I114+J114+K114</f>
        <v>1385000</v>
      </c>
      <c r="I114" s="987">
        <v>435000</v>
      </c>
      <c r="J114" s="988">
        <f>450000+500000</f>
        <v>950000</v>
      </c>
      <c r="K114" s="988"/>
      <c r="L114" s="997">
        <f t="shared" si="19"/>
        <v>1275240</v>
      </c>
      <c r="M114" s="987">
        <v>325240</v>
      </c>
      <c r="N114" s="988">
        <v>950000</v>
      </c>
      <c r="O114" s="988"/>
      <c r="P114" s="990">
        <f t="shared" si="17"/>
        <v>0.9207509025270758</v>
      </c>
      <c r="Q114" s="990">
        <f t="shared" si="18"/>
        <v>0.7476781609195402</v>
      </c>
    </row>
    <row r="115" spans="1:17" s="964" customFormat="1" ht="20.25" customHeight="1">
      <c r="A115" s="941"/>
      <c r="B115" s="941"/>
      <c r="C115" s="986" t="s">
        <v>921</v>
      </c>
      <c r="D115" s="984">
        <f>E115+F115</f>
        <v>100000</v>
      </c>
      <c r="E115" s="987">
        <v>100000</v>
      </c>
      <c r="F115" s="988"/>
      <c r="G115" s="989"/>
      <c r="H115" s="984">
        <f>I115+J115</f>
        <v>265000</v>
      </c>
      <c r="I115" s="987">
        <v>265000</v>
      </c>
      <c r="J115" s="988"/>
      <c r="K115" s="988"/>
      <c r="L115" s="997">
        <f t="shared" si="19"/>
        <v>200000</v>
      </c>
      <c r="M115" s="987">
        <v>200000</v>
      </c>
      <c r="N115" s="988"/>
      <c r="O115" s="988"/>
      <c r="P115" s="990">
        <f t="shared" si="17"/>
        <v>0.7547169811320755</v>
      </c>
      <c r="Q115" s="990">
        <f t="shared" si="18"/>
        <v>0.7547169811320755</v>
      </c>
    </row>
    <row r="116" spans="1:17" s="964" customFormat="1" ht="28.5" customHeight="1">
      <c r="A116" s="941"/>
      <c r="B116" s="941"/>
      <c r="C116" s="986" t="s">
        <v>922</v>
      </c>
      <c r="D116" s="984">
        <f>E116+F116</f>
        <v>100000</v>
      </c>
      <c r="E116" s="987">
        <v>100000</v>
      </c>
      <c r="F116" s="988"/>
      <c r="G116" s="989"/>
      <c r="H116" s="984"/>
      <c r="I116" s="987"/>
      <c r="J116" s="988"/>
      <c r="K116" s="988"/>
      <c r="L116" s="997"/>
      <c r="M116" s="987"/>
      <c r="N116" s="988"/>
      <c r="O116" s="988"/>
      <c r="P116" s="990"/>
      <c r="Q116" s="990"/>
    </row>
    <row r="117" spans="1:17" s="964" customFormat="1" ht="19.5" customHeight="1">
      <c r="A117" s="941"/>
      <c r="B117" s="941"/>
      <c r="C117" s="986" t="s">
        <v>923</v>
      </c>
      <c r="D117" s="984">
        <f>E117+F117</f>
        <v>50000</v>
      </c>
      <c r="E117" s="987">
        <v>50000</v>
      </c>
      <c r="F117" s="988"/>
      <c r="G117" s="989"/>
      <c r="H117" s="984">
        <f>I117+J117</f>
        <v>63500</v>
      </c>
      <c r="I117" s="987">
        <v>63500</v>
      </c>
      <c r="J117" s="988"/>
      <c r="K117" s="988"/>
      <c r="L117" s="997">
        <f>SUM(M117:O117)</f>
        <v>32100</v>
      </c>
      <c r="M117" s="987">
        <v>32100</v>
      </c>
      <c r="N117" s="988"/>
      <c r="O117" s="988"/>
      <c r="P117" s="990">
        <f aca="true" t="shared" si="20" ref="P117:Q119">L117/H117</f>
        <v>0.5055118110236221</v>
      </c>
      <c r="Q117" s="990">
        <f t="shared" si="20"/>
        <v>0.5055118110236221</v>
      </c>
    </row>
    <row r="118" spans="1:74" s="1068" customFormat="1" ht="19.5" customHeight="1">
      <c r="A118" s="941"/>
      <c r="B118" s="941"/>
      <c r="C118" s="991" t="s">
        <v>924</v>
      </c>
      <c r="D118" s="947">
        <f>E118+F118</f>
        <v>50000</v>
      </c>
      <c r="E118" s="992">
        <v>50000</v>
      </c>
      <c r="F118" s="975"/>
      <c r="G118" s="993"/>
      <c r="H118" s="947">
        <f>I118+J118</f>
        <v>36500</v>
      </c>
      <c r="I118" s="992">
        <v>36500</v>
      </c>
      <c r="J118" s="975"/>
      <c r="K118" s="975"/>
      <c r="L118" s="997">
        <f>SUM(M118:O118)</f>
        <v>36478</v>
      </c>
      <c r="M118" s="992">
        <v>36478</v>
      </c>
      <c r="N118" s="975"/>
      <c r="O118" s="975"/>
      <c r="P118" s="994">
        <f t="shared" si="20"/>
        <v>0.9993972602739726</v>
      </c>
      <c r="Q118" s="994">
        <f t="shared" si="20"/>
        <v>0.9993972602739726</v>
      </c>
      <c r="R118" s="950"/>
      <c r="S118" s="950"/>
      <c r="T118" s="950"/>
      <c r="U118" s="950"/>
      <c r="V118" s="950"/>
      <c r="W118" s="950"/>
      <c r="X118" s="950"/>
      <c r="Y118" s="950"/>
      <c r="Z118" s="950"/>
      <c r="AA118" s="950"/>
      <c r="AB118" s="950"/>
      <c r="AC118" s="950"/>
      <c r="AD118" s="950"/>
      <c r="AE118" s="950"/>
      <c r="AF118" s="950"/>
      <c r="AG118" s="950"/>
      <c r="AH118" s="950"/>
      <c r="AI118" s="950"/>
      <c r="AJ118" s="950"/>
      <c r="AK118" s="950"/>
      <c r="AL118" s="950"/>
      <c r="AM118" s="950"/>
      <c r="AN118" s="950"/>
      <c r="AO118" s="950"/>
      <c r="AP118" s="950"/>
      <c r="AQ118" s="950"/>
      <c r="AR118" s="950"/>
      <c r="AS118" s="950"/>
      <c r="AT118" s="950"/>
      <c r="AU118" s="950"/>
      <c r="AV118" s="950"/>
      <c r="AW118" s="950"/>
      <c r="AX118" s="950"/>
      <c r="AY118" s="950"/>
      <c r="AZ118" s="950"/>
      <c r="BA118" s="950"/>
      <c r="BB118" s="950"/>
      <c r="BC118" s="950"/>
      <c r="BD118" s="950"/>
      <c r="BE118" s="950"/>
      <c r="BF118" s="950"/>
      <c r="BG118" s="950"/>
      <c r="BH118" s="950"/>
      <c r="BI118" s="950"/>
      <c r="BJ118" s="950"/>
      <c r="BK118" s="950"/>
      <c r="BL118" s="950"/>
      <c r="BM118" s="950"/>
      <c r="BN118" s="950"/>
      <c r="BO118" s="950"/>
      <c r="BP118" s="950"/>
      <c r="BQ118" s="950"/>
      <c r="BR118" s="950"/>
      <c r="BS118" s="950"/>
      <c r="BT118" s="950"/>
      <c r="BU118" s="950"/>
      <c r="BV118" s="950"/>
    </row>
    <row r="119" spans="1:74" s="1068" customFormat="1" ht="44.25" customHeight="1">
      <c r="A119" s="941"/>
      <c r="B119" s="941"/>
      <c r="C119" s="1071" t="s">
        <v>925</v>
      </c>
      <c r="D119" s="988">
        <f>E119+F119+G119</f>
        <v>68000</v>
      </c>
      <c r="E119" s="987">
        <v>68000</v>
      </c>
      <c r="F119" s="988"/>
      <c r="G119" s="989"/>
      <c r="H119" s="988">
        <f>I119+J119+K119</f>
        <v>68000</v>
      </c>
      <c r="I119" s="987">
        <v>68000</v>
      </c>
      <c r="J119" s="988"/>
      <c r="K119" s="988"/>
      <c r="L119" s="997">
        <f>SUM(M119:O119)</f>
        <v>67534</v>
      </c>
      <c r="M119" s="987">
        <v>67534</v>
      </c>
      <c r="N119" s="988"/>
      <c r="O119" s="988"/>
      <c r="P119" s="990">
        <f t="shared" si="20"/>
        <v>0.9931470588235294</v>
      </c>
      <c r="Q119" s="990">
        <f t="shared" si="20"/>
        <v>0.9931470588235294</v>
      </c>
      <c r="R119" s="942"/>
      <c r="S119" s="950"/>
      <c r="T119" s="950"/>
      <c r="U119" s="950"/>
      <c r="V119" s="950"/>
      <c r="W119" s="950"/>
      <c r="X119" s="950"/>
      <c r="Y119" s="950"/>
      <c r="Z119" s="950"/>
      <c r="AA119" s="950"/>
      <c r="AB119" s="950"/>
      <c r="AC119" s="950"/>
      <c r="AD119" s="950"/>
      <c r="AE119" s="950"/>
      <c r="AF119" s="950"/>
      <c r="AG119" s="950"/>
      <c r="AH119" s="950"/>
      <c r="AI119" s="950"/>
      <c r="AJ119" s="950"/>
      <c r="AK119" s="950"/>
      <c r="AL119" s="950"/>
      <c r="AM119" s="950"/>
      <c r="AN119" s="950"/>
      <c r="AO119" s="950"/>
      <c r="AP119" s="950"/>
      <c r="AQ119" s="950"/>
      <c r="AR119" s="950"/>
      <c r="AS119" s="950"/>
      <c r="AT119" s="950"/>
      <c r="AU119" s="950"/>
      <c r="AV119" s="950"/>
      <c r="AW119" s="950"/>
      <c r="AX119" s="950"/>
      <c r="AY119" s="950"/>
      <c r="AZ119" s="950"/>
      <c r="BA119" s="950"/>
      <c r="BB119" s="950"/>
      <c r="BC119" s="950"/>
      <c r="BD119" s="950"/>
      <c r="BE119" s="950"/>
      <c r="BF119" s="950"/>
      <c r="BG119" s="950"/>
      <c r="BH119" s="950"/>
      <c r="BI119" s="950"/>
      <c r="BJ119" s="950"/>
      <c r="BK119" s="950"/>
      <c r="BL119" s="950"/>
      <c r="BM119" s="950"/>
      <c r="BN119" s="950"/>
      <c r="BO119" s="950"/>
      <c r="BP119" s="950"/>
      <c r="BQ119" s="950"/>
      <c r="BR119" s="950"/>
      <c r="BS119" s="950"/>
      <c r="BT119" s="950"/>
      <c r="BU119" s="950"/>
      <c r="BV119" s="950"/>
    </row>
    <row r="120" spans="1:17" s="950" customFormat="1" ht="29.25" customHeight="1">
      <c r="A120" s="941"/>
      <c r="B120" s="941"/>
      <c r="C120" s="1072" t="s">
        <v>926</v>
      </c>
      <c r="D120" s="947"/>
      <c r="E120" s="946"/>
      <c r="F120" s="947"/>
      <c r="G120" s="942"/>
      <c r="H120" s="947">
        <f>I120+J120+K120</f>
        <v>50000</v>
      </c>
      <c r="I120" s="946"/>
      <c r="J120" s="947">
        <v>50000</v>
      </c>
      <c r="K120" s="947"/>
      <c r="L120" s="948">
        <f>N120</f>
        <v>50000</v>
      </c>
      <c r="M120" s="946"/>
      <c r="N120" s="947">
        <v>50000</v>
      </c>
      <c r="O120" s="947"/>
      <c r="P120" s="990">
        <f aca="true" t="shared" si="21" ref="P120:P134">L120/H120</f>
        <v>1</v>
      </c>
      <c r="Q120" s="990"/>
    </row>
    <row r="121" spans="1:17" s="950" customFormat="1" ht="19.5" customHeight="1">
      <c r="A121" s="941"/>
      <c r="B121" s="941"/>
      <c r="C121" s="1023" t="s">
        <v>927</v>
      </c>
      <c r="D121" s="1060"/>
      <c r="E121" s="1061"/>
      <c r="F121" s="1060"/>
      <c r="G121" s="1062"/>
      <c r="H121" s="1060">
        <f>I121+J121+K121</f>
        <v>640000</v>
      </c>
      <c r="I121" s="1061"/>
      <c r="J121" s="1060">
        <v>640000</v>
      </c>
      <c r="K121" s="1060"/>
      <c r="L121" s="1063">
        <f>N121</f>
        <v>640000</v>
      </c>
      <c r="M121" s="1061"/>
      <c r="N121" s="1060">
        <v>640000</v>
      </c>
      <c r="O121" s="1060"/>
      <c r="P121" s="994">
        <f t="shared" si="21"/>
        <v>1</v>
      </c>
      <c r="Q121" s="994"/>
    </row>
    <row r="122" spans="1:17" s="957" customFormat="1" ht="21.75" customHeight="1">
      <c r="A122" s="965"/>
      <c r="B122" s="1005">
        <v>90003</v>
      </c>
      <c r="C122" s="970" t="s">
        <v>414</v>
      </c>
      <c r="D122" s="968">
        <f>E122+F122+G122</f>
        <v>1156000</v>
      </c>
      <c r="E122" s="969"/>
      <c r="F122" s="968">
        <f>SUM(F123:F123)</f>
        <v>500000</v>
      </c>
      <c r="G122" s="970">
        <f>SUM(G123:G123)</f>
        <v>656000</v>
      </c>
      <c r="H122" s="968">
        <f>I122+J122+K122</f>
        <v>656000</v>
      </c>
      <c r="I122" s="969"/>
      <c r="J122" s="968"/>
      <c r="K122" s="968">
        <f>SUM(K123:K123)</f>
        <v>656000</v>
      </c>
      <c r="L122" s="971">
        <f>O122</f>
        <v>250740</v>
      </c>
      <c r="M122" s="969"/>
      <c r="N122" s="968"/>
      <c r="O122" s="968">
        <f>O123</f>
        <v>250740</v>
      </c>
      <c r="P122" s="713">
        <f t="shared" si="21"/>
        <v>0.38222560975609754</v>
      </c>
      <c r="Q122" s="713"/>
    </row>
    <row r="123" spans="1:17" s="1074" customFormat="1" ht="18.75" customHeight="1">
      <c r="A123" s="941"/>
      <c r="B123" s="1033"/>
      <c r="C123" s="1073" t="s">
        <v>928</v>
      </c>
      <c r="D123" s="1035">
        <f>E123+F123+G123</f>
        <v>1156000</v>
      </c>
      <c r="E123" s="1036"/>
      <c r="F123" s="1035">
        <v>500000</v>
      </c>
      <c r="G123" s="1037">
        <v>656000</v>
      </c>
      <c r="H123" s="1035">
        <f>I123+J123+K123</f>
        <v>656000</v>
      </c>
      <c r="I123" s="1036"/>
      <c r="J123" s="1035"/>
      <c r="K123" s="1035">
        <v>656000</v>
      </c>
      <c r="L123" s="1038">
        <f>O123</f>
        <v>250740</v>
      </c>
      <c r="M123" s="1036"/>
      <c r="N123" s="1035"/>
      <c r="O123" s="1035">
        <v>250740</v>
      </c>
      <c r="P123" s="985">
        <f t="shared" si="21"/>
        <v>0.38222560975609754</v>
      </c>
      <c r="Q123" s="985"/>
    </row>
    <row r="124" spans="1:17" s="950" customFormat="1" ht="21" customHeight="1">
      <c r="A124" s="941"/>
      <c r="B124" s="1051">
        <v>90015</v>
      </c>
      <c r="C124" s="1075" t="s">
        <v>419</v>
      </c>
      <c r="D124" s="1000"/>
      <c r="E124" s="1001"/>
      <c r="F124" s="1000"/>
      <c r="G124" s="1002"/>
      <c r="H124" s="742">
        <f>H125</f>
        <v>5650</v>
      </c>
      <c r="I124" s="1053">
        <f>I125</f>
        <v>5650</v>
      </c>
      <c r="J124" s="1000"/>
      <c r="K124" s="1000"/>
      <c r="L124" s="1054">
        <f>SUM(M124:O124)</f>
        <v>5623</v>
      </c>
      <c r="M124" s="1053">
        <f>M125</f>
        <v>5623</v>
      </c>
      <c r="N124" s="742"/>
      <c r="O124" s="742"/>
      <c r="P124" s="713">
        <f t="shared" si="21"/>
        <v>0.9952212389380531</v>
      </c>
      <c r="Q124" s="713">
        <f aca="true" t="shared" si="22" ref="Q124:Q134">M124/I124</f>
        <v>0.9952212389380531</v>
      </c>
    </row>
    <row r="125" spans="1:17" s="950" customFormat="1" ht="20.25" customHeight="1">
      <c r="A125" s="998"/>
      <c r="B125" s="998"/>
      <c r="C125" s="1076" t="s">
        <v>929</v>
      </c>
      <c r="D125" s="1000"/>
      <c r="E125" s="1001"/>
      <c r="F125" s="1000"/>
      <c r="G125" s="1002"/>
      <c r="H125" s="1000">
        <f>I125+J125+K125</f>
        <v>5650</v>
      </c>
      <c r="I125" s="1001">
        <v>5650</v>
      </c>
      <c r="J125" s="1000"/>
      <c r="K125" s="1000"/>
      <c r="L125" s="1003">
        <f>SUM(M125:O125)</f>
        <v>5623</v>
      </c>
      <c r="M125" s="1001">
        <v>5623</v>
      </c>
      <c r="N125" s="1000"/>
      <c r="O125" s="1000"/>
      <c r="P125" s="1039">
        <f t="shared" si="21"/>
        <v>0.9952212389380531</v>
      </c>
      <c r="Q125" s="1039">
        <f t="shared" si="22"/>
        <v>0.9952212389380531</v>
      </c>
    </row>
    <row r="126" spans="1:17" s="957" customFormat="1" ht="21.75" customHeight="1">
      <c r="A126" s="965"/>
      <c r="B126" s="951">
        <v>90095</v>
      </c>
      <c r="C126" s="1040" t="s">
        <v>314</v>
      </c>
      <c r="D126" s="1041">
        <f>E126+F126+G126</f>
        <v>4017000</v>
      </c>
      <c r="E126" s="1042">
        <f>SUM(E127:E133)</f>
        <v>3817000</v>
      </c>
      <c r="F126" s="1041">
        <f>SUM(F127:F133)</f>
        <v>200000</v>
      </c>
      <c r="G126" s="1040"/>
      <c r="H126" s="1041">
        <f>I126+J126+K126</f>
        <v>6711000</v>
      </c>
      <c r="I126" s="1042">
        <f>SUM(I127:I133)-I129-I131</f>
        <v>4258000</v>
      </c>
      <c r="J126" s="1041">
        <f>J128+J130</f>
        <v>2453000</v>
      </c>
      <c r="K126" s="1041"/>
      <c r="L126" s="1049">
        <f>SUM(M126:O126)</f>
        <v>5820293</v>
      </c>
      <c r="M126" s="1042">
        <f>SUM(M127:M133)-M129-M131</f>
        <v>3489174</v>
      </c>
      <c r="N126" s="1041">
        <f>N128+N130</f>
        <v>2331119</v>
      </c>
      <c r="O126" s="1041"/>
      <c r="P126" s="1050">
        <f t="shared" si="21"/>
        <v>0.8672765608702131</v>
      </c>
      <c r="Q126" s="1050">
        <f t="shared" si="22"/>
        <v>0.8194396430248944</v>
      </c>
    </row>
    <row r="127" spans="1:17" s="964" customFormat="1" ht="19.5" customHeight="1">
      <c r="A127" s="941"/>
      <c r="B127" s="973"/>
      <c r="C127" s="978" t="s">
        <v>930</v>
      </c>
      <c r="D127" s="977">
        <f>E127+F127+G127</f>
        <v>1500000</v>
      </c>
      <c r="E127" s="976">
        <v>1500000</v>
      </c>
      <c r="F127" s="977"/>
      <c r="G127" s="978"/>
      <c r="H127" s="977">
        <f>I127+J127+K127</f>
        <v>1400000</v>
      </c>
      <c r="I127" s="976">
        <v>1400000</v>
      </c>
      <c r="J127" s="977"/>
      <c r="K127" s="977"/>
      <c r="L127" s="1007">
        <f>SUM(M127:O127)</f>
        <v>808855</v>
      </c>
      <c r="M127" s="976">
        <v>808855</v>
      </c>
      <c r="N127" s="977"/>
      <c r="O127" s="977"/>
      <c r="P127" s="980">
        <f t="shared" si="21"/>
        <v>0.5777535714285714</v>
      </c>
      <c r="Q127" s="980">
        <f t="shared" si="22"/>
        <v>0.5777535714285714</v>
      </c>
    </row>
    <row r="128" spans="1:17" s="964" customFormat="1" ht="30" customHeight="1">
      <c r="A128" s="941"/>
      <c r="B128" s="941"/>
      <c r="C128" s="996" t="s">
        <v>931</v>
      </c>
      <c r="D128" s="947">
        <f>E128+F128+G128</f>
        <v>1200000</v>
      </c>
      <c r="E128" s="946">
        <v>1000000</v>
      </c>
      <c r="F128" s="947">
        <v>200000</v>
      </c>
      <c r="G128" s="942"/>
      <c r="H128" s="947">
        <f>I128+J128+K128</f>
        <v>3020000</v>
      </c>
      <c r="I128" s="946">
        <v>1511000</v>
      </c>
      <c r="J128" s="947">
        <v>1509000</v>
      </c>
      <c r="K128" s="947"/>
      <c r="L128" s="948">
        <f>SUM(M128:O128)</f>
        <v>2805104</v>
      </c>
      <c r="M128" s="946">
        <v>1417985</v>
      </c>
      <c r="N128" s="947">
        <v>1387119</v>
      </c>
      <c r="O128" s="947"/>
      <c r="P128" s="949">
        <f t="shared" si="21"/>
        <v>0.9288423841059603</v>
      </c>
      <c r="Q128" s="949">
        <f t="shared" si="22"/>
        <v>0.9384414295168763</v>
      </c>
    </row>
    <row r="129" spans="1:17" s="1084" customFormat="1" ht="20.25" customHeight="1">
      <c r="A129" s="1077"/>
      <c r="B129" s="1077"/>
      <c r="C129" s="1078" t="s">
        <v>932</v>
      </c>
      <c r="D129" s="1079"/>
      <c r="E129" s="1080"/>
      <c r="F129" s="1079"/>
      <c r="G129" s="1081"/>
      <c r="H129" s="1079">
        <f>I129+J129</f>
        <v>1592264</v>
      </c>
      <c r="I129" s="1080">
        <v>283264</v>
      </c>
      <c r="J129" s="1079">
        <v>1309000</v>
      </c>
      <c r="K129" s="1079"/>
      <c r="L129" s="1082">
        <f>M129+N129</f>
        <v>1592264</v>
      </c>
      <c r="M129" s="1080">
        <v>283264</v>
      </c>
      <c r="N129" s="1079">
        <v>1309000</v>
      </c>
      <c r="O129" s="1079"/>
      <c r="P129" s="1083">
        <f t="shared" si="21"/>
        <v>1</v>
      </c>
      <c r="Q129" s="1083">
        <f t="shared" si="22"/>
        <v>1</v>
      </c>
    </row>
    <row r="130" spans="1:17" s="964" customFormat="1" ht="30.75" customHeight="1">
      <c r="A130" s="941"/>
      <c r="B130" s="941"/>
      <c r="C130" s="996" t="s">
        <v>933</v>
      </c>
      <c r="D130" s="947">
        <f>E130+F130+G130</f>
        <v>1000000</v>
      </c>
      <c r="E130" s="946">
        <v>1000000</v>
      </c>
      <c r="F130" s="947"/>
      <c r="G130" s="942"/>
      <c r="H130" s="947">
        <f>I130+J130+K130</f>
        <v>1944000</v>
      </c>
      <c r="I130" s="946">
        <v>1000000</v>
      </c>
      <c r="J130" s="947">
        <v>944000</v>
      </c>
      <c r="K130" s="947"/>
      <c r="L130" s="948">
        <f>SUM(M130:O130)</f>
        <v>1944000</v>
      </c>
      <c r="M130" s="946">
        <v>1000000</v>
      </c>
      <c r="N130" s="947">
        <v>944000</v>
      </c>
      <c r="O130" s="947"/>
      <c r="P130" s="949">
        <f t="shared" si="21"/>
        <v>1</v>
      </c>
      <c r="Q130" s="949">
        <f t="shared" si="22"/>
        <v>1</v>
      </c>
    </row>
    <row r="131" spans="1:17" s="1084" customFormat="1" ht="20.25" customHeight="1">
      <c r="A131" s="1077"/>
      <c r="B131" s="1077"/>
      <c r="C131" s="1078" t="s">
        <v>932</v>
      </c>
      <c r="D131" s="1079"/>
      <c r="E131" s="1080"/>
      <c r="F131" s="1079"/>
      <c r="G131" s="1081"/>
      <c r="H131" s="1079">
        <f>I131+J131</f>
        <v>1553074</v>
      </c>
      <c r="I131" s="1080">
        <v>609074</v>
      </c>
      <c r="J131" s="1079">
        <v>944000</v>
      </c>
      <c r="K131" s="1079"/>
      <c r="L131" s="1082">
        <f>M131+N131</f>
        <v>1553074</v>
      </c>
      <c r="M131" s="1080">
        <v>609074</v>
      </c>
      <c r="N131" s="1079">
        <v>944000</v>
      </c>
      <c r="O131" s="1079"/>
      <c r="P131" s="1083">
        <f t="shared" si="21"/>
        <v>1</v>
      </c>
      <c r="Q131" s="1083">
        <f t="shared" si="22"/>
        <v>1</v>
      </c>
    </row>
    <row r="132" spans="1:17" s="964" customFormat="1" ht="21" customHeight="1">
      <c r="A132" s="941"/>
      <c r="B132" s="941"/>
      <c r="C132" s="982" t="s">
        <v>934</v>
      </c>
      <c r="D132" s="984">
        <f>E132+F132+G132</f>
        <v>200000</v>
      </c>
      <c r="E132" s="983">
        <v>200000</v>
      </c>
      <c r="F132" s="984"/>
      <c r="G132" s="982"/>
      <c r="H132" s="984">
        <f>I132+J132+K132</f>
        <v>207000</v>
      </c>
      <c r="I132" s="983">
        <v>207000</v>
      </c>
      <c r="J132" s="984"/>
      <c r="K132" s="984"/>
      <c r="L132" s="997">
        <f aca="true" t="shared" si="23" ref="L132:L138">SUM(M132:O132)</f>
        <v>194226</v>
      </c>
      <c r="M132" s="983">
        <v>194226</v>
      </c>
      <c r="N132" s="984"/>
      <c r="O132" s="984"/>
      <c r="P132" s="985">
        <f t="shared" si="21"/>
        <v>0.9382898550724638</v>
      </c>
      <c r="Q132" s="985">
        <f t="shared" si="22"/>
        <v>0.9382898550724638</v>
      </c>
    </row>
    <row r="133" spans="1:17" s="964" customFormat="1" ht="30" customHeight="1">
      <c r="A133" s="998"/>
      <c r="B133" s="998"/>
      <c r="C133" s="999" t="s">
        <v>935</v>
      </c>
      <c r="D133" s="1000">
        <f>E133+F133+G133</f>
        <v>117000</v>
      </c>
      <c r="E133" s="1001">
        <v>117000</v>
      </c>
      <c r="F133" s="1000"/>
      <c r="G133" s="1002"/>
      <c r="H133" s="1000">
        <f>I133+J133+K133</f>
        <v>140000</v>
      </c>
      <c r="I133" s="1001">
        <v>140000</v>
      </c>
      <c r="J133" s="1000"/>
      <c r="K133" s="1000"/>
      <c r="L133" s="1008">
        <f t="shared" si="23"/>
        <v>68108</v>
      </c>
      <c r="M133" s="1001">
        <v>68108</v>
      </c>
      <c r="N133" s="1000"/>
      <c r="O133" s="1000"/>
      <c r="P133" s="1004">
        <f t="shared" si="21"/>
        <v>0.4864857142857143</v>
      </c>
      <c r="Q133" s="1004">
        <f t="shared" si="22"/>
        <v>0.4864857142857143</v>
      </c>
    </row>
    <row r="134" spans="1:17" s="964" customFormat="1" ht="31.5" customHeight="1">
      <c r="A134" s="1045">
        <v>921</v>
      </c>
      <c r="B134" s="958"/>
      <c r="C134" s="1046" t="s">
        <v>573</v>
      </c>
      <c r="D134" s="1029">
        <f>E134+F134+G134</f>
        <v>2068000</v>
      </c>
      <c r="E134" s="1030">
        <f>E135+E137+E141+E139</f>
        <v>2068000</v>
      </c>
      <c r="F134" s="1029"/>
      <c r="G134" s="1028"/>
      <c r="H134" s="1029">
        <f>I134+J134+K134</f>
        <v>2392000</v>
      </c>
      <c r="I134" s="1030">
        <f>I135+I137+I141+I139</f>
        <v>2392000</v>
      </c>
      <c r="J134" s="1029"/>
      <c r="K134" s="1029"/>
      <c r="L134" s="1031">
        <f t="shared" si="23"/>
        <v>2279881</v>
      </c>
      <c r="M134" s="1030">
        <f>M135+M137+M139+M141</f>
        <v>2279881</v>
      </c>
      <c r="N134" s="1030"/>
      <c r="O134" s="1029"/>
      <c r="P134" s="1032">
        <f t="shared" si="21"/>
        <v>0.953127508361204</v>
      </c>
      <c r="Q134" s="1032">
        <f t="shared" si="22"/>
        <v>0.953127508361204</v>
      </c>
    </row>
    <row r="135" spans="1:17" s="957" customFormat="1" ht="21.75" customHeight="1">
      <c r="A135" s="965"/>
      <c r="B135" s="1055">
        <v>92105</v>
      </c>
      <c r="C135" s="1048" t="s">
        <v>759</v>
      </c>
      <c r="D135" s="1041">
        <f>E135+F135+G135</f>
        <v>1126000</v>
      </c>
      <c r="E135" s="1042">
        <f>E136</f>
        <v>1126000</v>
      </c>
      <c r="F135" s="1041"/>
      <c r="G135" s="1040"/>
      <c r="H135" s="1041">
        <f>I135+J135+K135</f>
        <v>1420000</v>
      </c>
      <c r="I135" s="1042">
        <f>I136</f>
        <v>1420000</v>
      </c>
      <c r="J135" s="1041"/>
      <c r="K135" s="1041"/>
      <c r="L135" s="1049">
        <f t="shared" si="23"/>
        <v>1419983</v>
      </c>
      <c r="M135" s="1042">
        <f>M136</f>
        <v>1419983</v>
      </c>
      <c r="N135" s="1041"/>
      <c r="O135" s="1041"/>
      <c r="P135" s="1050">
        <v>0.9999</v>
      </c>
      <c r="Q135" s="1050">
        <v>0.9999</v>
      </c>
    </row>
    <row r="136" spans="1:17" s="964" customFormat="1" ht="18.75" customHeight="1">
      <c r="A136" s="941"/>
      <c r="B136" s="1033"/>
      <c r="C136" s="1037" t="s">
        <v>936</v>
      </c>
      <c r="D136" s="1035">
        <f>E136+F136+G136</f>
        <v>1126000</v>
      </c>
      <c r="E136" s="1036">
        <v>1126000</v>
      </c>
      <c r="F136" s="1035"/>
      <c r="G136" s="1037"/>
      <c r="H136" s="1035">
        <f>I136+J136+K136</f>
        <v>1420000</v>
      </c>
      <c r="I136" s="1036">
        <v>1420000</v>
      </c>
      <c r="J136" s="1035"/>
      <c r="K136" s="1035"/>
      <c r="L136" s="1038">
        <f t="shared" si="23"/>
        <v>1419983</v>
      </c>
      <c r="M136" s="1036">
        <v>1419983</v>
      </c>
      <c r="N136" s="1035"/>
      <c r="O136" s="1035"/>
      <c r="P136" s="1039">
        <v>0.9999</v>
      </c>
      <c r="Q136" s="1039">
        <v>0.9999</v>
      </c>
    </row>
    <row r="137" spans="1:17" s="957" customFormat="1" ht="20.25" customHeight="1">
      <c r="A137" s="965"/>
      <c r="B137" s="1055">
        <v>92110</v>
      </c>
      <c r="C137" s="1048" t="s">
        <v>769</v>
      </c>
      <c r="D137" s="1041">
        <f>D138</f>
        <v>30000</v>
      </c>
      <c r="E137" s="1042">
        <f>E138</f>
        <v>30000</v>
      </c>
      <c r="F137" s="1042"/>
      <c r="G137" s="1040"/>
      <c r="H137" s="1041">
        <f>H138</f>
        <v>5000</v>
      </c>
      <c r="I137" s="1042">
        <f>I138</f>
        <v>5000</v>
      </c>
      <c r="J137" s="1042"/>
      <c r="K137" s="1041"/>
      <c r="L137" s="1049">
        <f t="shared" si="23"/>
        <v>5000</v>
      </c>
      <c r="M137" s="1042">
        <f>M138</f>
        <v>5000</v>
      </c>
      <c r="N137" s="1042"/>
      <c r="O137" s="1041"/>
      <c r="P137" s="1050">
        <f aca="true" t="shared" si="24" ref="P137:Q142">L137/H137</f>
        <v>1</v>
      </c>
      <c r="Q137" s="1050">
        <f t="shared" si="24"/>
        <v>1</v>
      </c>
    </row>
    <row r="138" spans="1:17" s="964" customFormat="1" ht="19.5" customHeight="1">
      <c r="A138" s="941"/>
      <c r="B138" s="1033"/>
      <c r="C138" s="1085" t="s">
        <v>937</v>
      </c>
      <c r="D138" s="1035">
        <f>E138+F138+G138</f>
        <v>30000</v>
      </c>
      <c r="E138" s="1036">
        <v>30000</v>
      </c>
      <c r="F138" s="1035"/>
      <c r="G138" s="1037"/>
      <c r="H138" s="1035">
        <f>I138+J138+K138</f>
        <v>5000</v>
      </c>
      <c r="I138" s="1036">
        <v>5000</v>
      </c>
      <c r="J138" s="1035"/>
      <c r="K138" s="1035"/>
      <c r="L138" s="1038">
        <f t="shared" si="23"/>
        <v>5000</v>
      </c>
      <c r="M138" s="1036">
        <v>5000</v>
      </c>
      <c r="N138" s="1035"/>
      <c r="O138" s="1035"/>
      <c r="P138" s="1039">
        <f t="shared" si="24"/>
        <v>1</v>
      </c>
      <c r="Q138" s="1039">
        <f t="shared" si="24"/>
        <v>1</v>
      </c>
    </row>
    <row r="139" spans="1:17" s="957" customFormat="1" ht="22.5" customHeight="1">
      <c r="A139" s="965"/>
      <c r="B139" s="1055">
        <v>92113</v>
      </c>
      <c r="C139" s="1048" t="s">
        <v>771</v>
      </c>
      <c r="D139" s="1041">
        <f>D140</f>
        <v>130000</v>
      </c>
      <c r="E139" s="1042">
        <f>E140</f>
        <v>130000</v>
      </c>
      <c r="F139" s="1042"/>
      <c r="G139" s="1040"/>
      <c r="H139" s="1041">
        <f>H140</f>
        <v>130000</v>
      </c>
      <c r="I139" s="1042">
        <f>I140</f>
        <v>130000</v>
      </c>
      <c r="J139" s="1042"/>
      <c r="K139" s="1041"/>
      <c r="L139" s="1049">
        <f>M139</f>
        <v>80000</v>
      </c>
      <c r="M139" s="1042">
        <f>M140</f>
        <v>80000</v>
      </c>
      <c r="N139" s="1042"/>
      <c r="O139" s="1041"/>
      <c r="P139" s="713">
        <f t="shared" si="24"/>
        <v>0.6153846153846154</v>
      </c>
      <c r="Q139" s="713">
        <f t="shared" si="24"/>
        <v>0.6153846153846154</v>
      </c>
    </row>
    <row r="140" spans="1:17" s="964" customFormat="1" ht="21" customHeight="1">
      <c r="A140" s="941"/>
      <c r="B140" s="1033"/>
      <c r="C140" s="1085" t="s">
        <v>938</v>
      </c>
      <c r="D140" s="1035">
        <f aca="true" t="shared" si="25" ref="D140:D152">E140+F140+G140</f>
        <v>130000</v>
      </c>
      <c r="E140" s="1036">
        <v>130000</v>
      </c>
      <c r="F140" s="1035"/>
      <c r="G140" s="1037"/>
      <c r="H140" s="1035">
        <f aca="true" t="shared" si="26" ref="H140:H152">I140+J140+K140</f>
        <v>130000</v>
      </c>
      <c r="I140" s="1036">
        <v>130000</v>
      </c>
      <c r="J140" s="1035"/>
      <c r="K140" s="1035"/>
      <c r="L140" s="1038">
        <f>M140</f>
        <v>80000</v>
      </c>
      <c r="M140" s="1036">
        <v>80000</v>
      </c>
      <c r="N140" s="1035"/>
      <c r="O140" s="1035"/>
      <c r="P140" s="1039">
        <f t="shared" si="24"/>
        <v>0.6153846153846154</v>
      </c>
      <c r="Q140" s="1039">
        <f t="shared" si="24"/>
        <v>0.6153846153846154</v>
      </c>
    </row>
    <row r="141" spans="1:17" s="957" customFormat="1" ht="20.25" customHeight="1">
      <c r="A141" s="965"/>
      <c r="B141" s="1055">
        <v>92120</v>
      </c>
      <c r="C141" s="1048" t="s">
        <v>775</v>
      </c>
      <c r="D141" s="1041">
        <f t="shared" si="25"/>
        <v>782000</v>
      </c>
      <c r="E141" s="1042">
        <f>SUM(E142:E145)</f>
        <v>782000</v>
      </c>
      <c r="F141" s="1042"/>
      <c r="G141" s="1040"/>
      <c r="H141" s="1041">
        <f t="shared" si="26"/>
        <v>837000</v>
      </c>
      <c r="I141" s="1042">
        <f>SUM(I142:I145)</f>
        <v>837000</v>
      </c>
      <c r="J141" s="1042"/>
      <c r="K141" s="1041"/>
      <c r="L141" s="1049">
        <f>SUM(M141:O141)</f>
        <v>774898</v>
      </c>
      <c r="M141" s="1042">
        <f>SUM(M142:M145)</f>
        <v>774898</v>
      </c>
      <c r="N141" s="1042"/>
      <c r="O141" s="1041"/>
      <c r="P141" s="1050">
        <f t="shared" si="24"/>
        <v>0.9258040621266428</v>
      </c>
      <c r="Q141" s="1050">
        <f t="shared" si="24"/>
        <v>0.9258040621266428</v>
      </c>
    </row>
    <row r="142" spans="1:17" s="964" customFormat="1" ht="19.5" customHeight="1">
      <c r="A142" s="941"/>
      <c r="B142" s="941"/>
      <c r="C142" s="982" t="s">
        <v>939</v>
      </c>
      <c r="D142" s="984">
        <f t="shared" si="25"/>
        <v>491000</v>
      </c>
      <c r="E142" s="983">
        <v>491000</v>
      </c>
      <c r="F142" s="984"/>
      <c r="G142" s="982"/>
      <c r="H142" s="984">
        <f t="shared" si="26"/>
        <v>538500</v>
      </c>
      <c r="I142" s="983">
        <v>538500</v>
      </c>
      <c r="J142" s="984"/>
      <c r="K142" s="984"/>
      <c r="L142" s="1008">
        <f>SUM(M142:O142)</f>
        <v>503940</v>
      </c>
      <c r="M142" s="983">
        <v>503940</v>
      </c>
      <c r="N142" s="984"/>
      <c r="O142" s="984"/>
      <c r="P142" s="985">
        <f t="shared" si="24"/>
        <v>0.9358217270194986</v>
      </c>
      <c r="Q142" s="985">
        <f t="shared" si="24"/>
        <v>0.9358217270194986</v>
      </c>
    </row>
    <row r="143" spans="1:17" s="964" customFormat="1" ht="20.25" customHeight="1">
      <c r="A143" s="941"/>
      <c r="B143" s="941"/>
      <c r="C143" s="1009" t="s">
        <v>940</v>
      </c>
      <c r="D143" s="984">
        <f t="shared" si="25"/>
        <v>50000</v>
      </c>
      <c r="E143" s="983">
        <v>50000</v>
      </c>
      <c r="F143" s="984"/>
      <c r="G143" s="982"/>
      <c r="H143" s="984">
        <f t="shared" si="26"/>
        <v>27500</v>
      </c>
      <c r="I143" s="983">
        <v>27500</v>
      </c>
      <c r="J143" s="984"/>
      <c r="K143" s="984"/>
      <c r="L143" s="1008"/>
      <c r="M143" s="983"/>
      <c r="N143" s="984"/>
      <c r="O143" s="984"/>
      <c r="P143" s="985"/>
      <c r="Q143" s="985"/>
    </row>
    <row r="144" spans="1:17" s="964" customFormat="1" ht="19.5" customHeight="1">
      <c r="A144" s="941"/>
      <c r="B144" s="941"/>
      <c r="C144" s="989" t="s">
        <v>941</v>
      </c>
      <c r="D144" s="984">
        <f t="shared" si="25"/>
        <v>180000</v>
      </c>
      <c r="E144" s="987">
        <v>180000</v>
      </c>
      <c r="F144" s="988"/>
      <c r="G144" s="989"/>
      <c r="H144" s="984">
        <f t="shared" si="26"/>
        <v>205000</v>
      </c>
      <c r="I144" s="987">
        <v>205000</v>
      </c>
      <c r="J144" s="988"/>
      <c r="K144" s="988"/>
      <c r="L144" s="1008">
        <f aca="true" t="shared" si="27" ref="L144:L150">SUM(M144:O144)</f>
        <v>204958</v>
      </c>
      <c r="M144" s="987">
        <v>204958</v>
      </c>
      <c r="N144" s="988"/>
      <c r="O144" s="988"/>
      <c r="P144" s="990">
        <f>L144/H144</f>
        <v>0.9997951219512196</v>
      </c>
      <c r="Q144" s="990">
        <f>M144/I144</f>
        <v>0.9997951219512196</v>
      </c>
    </row>
    <row r="145" spans="1:17" s="964" customFormat="1" ht="18" customHeight="1">
      <c r="A145" s="941"/>
      <c r="B145" s="941"/>
      <c r="C145" s="989" t="s">
        <v>942</v>
      </c>
      <c r="D145" s="984">
        <f t="shared" si="25"/>
        <v>61000</v>
      </c>
      <c r="E145" s="987">
        <v>61000</v>
      </c>
      <c r="F145" s="988"/>
      <c r="G145" s="989"/>
      <c r="H145" s="984">
        <f t="shared" si="26"/>
        <v>66000</v>
      </c>
      <c r="I145" s="987">
        <v>66000</v>
      </c>
      <c r="J145" s="988"/>
      <c r="K145" s="988"/>
      <c r="L145" s="1008">
        <f t="shared" si="27"/>
        <v>66000</v>
      </c>
      <c r="M145" s="987">
        <v>66000</v>
      </c>
      <c r="N145" s="988"/>
      <c r="O145" s="988"/>
      <c r="P145" s="990">
        <f>L145/H145</f>
        <v>1</v>
      </c>
      <c r="Q145" s="990">
        <f>M145/I145</f>
        <v>1</v>
      </c>
    </row>
    <row r="146" spans="1:17" s="964" customFormat="1" ht="21.75" customHeight="1">
      <c r="A146" s="958">
        <v>926</v>
      </c>
      <c r="B146" s="958"/>
      <c r="C146" s="1028" t="s">
        <v>446</v>
      </c>
      <c r="D146" s="1029">
        <f t="shared" si="25"/>
        <v>6800000</v>
      </c>
      <c r="E146" s="1030"/>
      <c r="F146" s="1029">
        <f>F147+F149+F151</f>
        <v>6800000</v>
      </c>
      <c r="G146" s="1028"/>
      <c r="H146" s="1029">
        <f t="shared" si="26"/>
        <v>6793000</v>
      </c>
      <c r="I146" s="1030"/>
      <c r="J146" s="1029">
        <f>J147+J149+J151</f>
        <v>6793000</v>
      </c>
      <c r="K146" s="1029"/>
      <c r="L146" s="1031">
        <f t="shared" si="27"/>
        <v>6793000</v>
      </c>
      <c r="M146" s="1030"/>
      <c r="N146" s="1029">
        <f>N147+N149+N151</f>
        <v>6793000</v>
      </c>
      <c r="O146" s="1029"/>
      <c r="P146" s="1032">
        <f aca="true" t="shared" si="28" ref="P146:P152">L146/H146</f>
        <v>1</v>
      </c>
      <c r="Q146" s="1032"/>
    </row>
    <row r="147" spans="1:17" s="957" customFormat="1" ht="21.75" customHeight="1">
      <c r="A147" s="965"/>
      <c r="B147" s="951">
        <v>92601</v>
      </c>
      <c r="C147" s="1040" t="s">
        <v>447</v>
      </c>
      <c r="D147" s="1041">
        <f t="shared" si="25"/>
        <v>150000</v>
      </c>
      <c r="E147" s="1042"/>
      <c r="F147" s="1041">
        <f>F148</f>
        <v>150000</v>
      </c>
      <c r="G147" s="1040"/>
      <c r="H147" s="1041">
        <f t="shared" si="26"/>
        <v>143060</v>
      </c>
      <c r="I147" s="1042"/>
      <c r="J147" s="1041">
        <f>J148</f>
        <v>143060</v>
      </c>
      <c r="K147" s="1041"/>
      <c r="L147" s="1049">
        <f t="shared" si="27"/>
        <v>143060</v>
      </c>
      <c r="M147" s="1042"/>
      <c r="N147" s="1041">
        <f>N148</f>
        <v>143060</v>
      </c>
      <c r="O147" s="1041"/>
      <c r="P147" s="1050">
        <f t="shared" si="28"/>
        <v>1</v>
      </c>
      <c r="Q147" s="1050"/>
    </row>
    <row r="148" spans="1:17" s="964" customFormat="1" ht="20.25" customHeight="1">
      <c r="A148" s="941"/>
      <c r="B148" s="998"/>
      <c r="C148" s="1062" t="s">
        <v>943</v>
      </c>
      <c r="D148" s="1060">
        <f t="shared" si="25"/>
        <v>150000</v>
      </c>
      <c r="E148" s="1061"/>
      <c r="F148" s="1060">
        <v>150000</v>
      </c>
      <c r="G148" s="1062"/>
      <c r="H148" s="1060">
        <f t="shared" si="26"/>
        <v>143060</v>
      </c>
      <c r="I148" s="1061"/>
      <c r="J148" s="1060">
        <v>143060</v>
      </c>
      <c r="K148" s="1060"/>
      <c r="L148" s="1063">
        <f t="shared" si="27"/>
        <v>143060</v>
      </c>
      <c r="M148" s="1061"/>
      <c r="N148" s="1060">
        <v>143060</v>
      </c>
      <c r="O148" s="1060"/>
      <c r="P148" s="1064">
        <f t="shared" si="28"/>
        <v>1</v>
      </c>
      <c r="Q148" s="1064"/>
    </row>
    <row r="149" spans="1:17" s="957" customFormat="1" ht="21.75" customHeight="1">
      <c r="A149" s="965"/>
      <c r="B149" s="951">
        <v>92604</v>
      </c>
      <c r="C149" s="1040" t="s">
        <v>780</v>
      </c>
      <c r="D149" s="1041">
        <f t="shared" si="25"/>
        <v>6530000</v>
      </c>
      <c r="E149" s="1042"/>
      <c r="F149" s="1041">
        <f>F150</f>
        <v>6530000</v>
      </c>
      <c r="G149" s="1040"/>
      <c r="H149" s="1041">
        <f t="shared" si="26"/>
        <v>6530000</v>
      </c>
      <c r="I149" s="1042"/>
      <c r="J149" s="1041">
        <f>J150</f>
        <v>6530000</v>
      </c>
      <c r="K149" s="1041"/>
      <c r="L149" s="1049">
        <f t="shared" si="27"/>
        <v>6530000</v>
      </c>
      <c r="M149" s="1042"/>
      <c r="N149" s="1041">
        <f>N150</f>
        <v>6530000</v>
      </c>
      <c r="O149" s="1041"/>
      <c r="P149" s="1050">
        <f t="shared" si="28"/>
        <v>1</v>
      </c>
      <c r="Q149" s="1050"/>
    </row>
    <row r="150" spans="1:17" s="964" customFormat="1" ht="42" customHeight="1">
      <c r="A150" s="941"/>
      <c r="B150" s="1033"/>
      <c r="C150" s="1034" t="s">
        <v>944</v>
      </c>
      <c r="D150" s="1035">
        <f t="shared" si="25"/>
        <v>6530000</v>
      </c>
      <c r="E150" s="1036"/>
      <c r="F150" s="1035">
        <f>6430000+100000</f>
        <v>6530000</v>
      </c>
      <c r="G150" s="1037"/>
      <c r="H150" s="1035">
        <f t="shared" si="26"/>
        <v>6530000</v>
      </c>
      <c r="I150" s="1036"/>
      <c r="J150" s="1035">
        <f>6430000+100000</f>
        <v>6530000</v>
      </c>
      <c r="K150" s="1035"/>
      <c r="L150" s="1038">
        <f t="shared" si="27"/>
        <v>6530000</v>
      </c>
      <c r="M150" s="1036"/>
      <c r="N150" s="1035">
        <v>6530000</v>
      </c>
      <c r="O150" s="1035"/>
      <c r="P150" s="1039">
        <f t="shared" si="28"/>
        <v>1</v>
      </c>
      <c r="Q150" s="1039"/>
    </row>
    <row r="151" spans="1:17" s="957" customFormat="1" ht="30.75" customHeight="1">
      <c r="A151" s="965"/>
      <c r="B151" s="1055">
        <v>92605</v>
      </c>
      <c r="C151" s="1048" t="s">
        <v>945</v>
      </c>
      <c r="D151" s="1041">
        <f t="shared" si="25"/>
        <v>120000</v>
      </c>
      <c r="E151" s="1042"/>
      <c r="F151" s="1041">
        <f>F152</f>
        <v>120000</v>
      </c>
      <c r="G151" s="1040"/>
      <c r="H151" s="1041">
        <f t="shared" si="26"/>
        <v>119940</v>
      </c>
      <c r="I151" s="1042"/>
      <c r="J151" s="1041">
        <f>J152</f>
        <v>119940</v>
      </c>
      <c r="K151" s="1041"/>
      <c r="L151" s="1049">
        <f>N151</f>
        <v>119940</v>
      </c>
      <c r="M151" s="1042"/>
      <c r="N151" s="1041">
        <f>N152</f>
        <v>119940</v>
      </c>
      <c r="O151" s="1041"/>
      <c r="P151" s="713">
        <f t="shared" si="28"/>
        <v>1</v>
      </c>
      <c r="Q151" s="1050"/>
    </row>
    <row r="152" spans="1:17" s="964" customFormat="1" ht="27" customHeight="1">
      <c r="A152" s="941"/>
      <c r="B152" s="973"/>
      <c r="C152" s="1086" t="s">
        <v>946</v>
      </c>
      <c r="D152" s="1087">
        <f t="shared" si="25"/>
        <v>120000</v>
      </c>
      <c r="E152" s="1088"/>
      <c r="F152" s="1087">
        <v>120000</v>
      </c>
      <c r="G152" s="1089"/>
      <c r="H152" s="1087">
        <f t="shared" si="26"/>
        <v>119940</v>
      </c>
      <c r="I152" s="1088"/>
      <c r="J152" s="1087">
        <v>119940</v>
      </c>
      <c r="K152" s="1087"/>
      <c r="L152" s="1090">
        <f>N152</f>
        <v>119940</v>
      </c>
      <c r="M152" s="1088"/>
      <c r="N152" s="1087">
        <v>119940</v>
      </c>
      <c r="O152" s="1087"/>
      <c r="P152" s="1091">
        <f t="shared" si="28"/>
        <v>1</v>
      </c>
      <c r="Q152" s="1091"/>
    </row>
    <row r="153" spans="1:28" s="964" customFormat="1" ht="27" customHeight="1">
      <c r="A153" s="1092"/>
      <c r="B153" s="1092"/>
      <c r="C153" s="1093"/>
      <c r="D153" s="1094"/>
      <c r="E153" s="1094"/>
      <c r="F153" s="1094"/>
      <c r="G153" s="1094"/>
      <c r="H153" s="1094"/>
      <c r="I153" s="1094"/>
      <c r="J153" s="1094"/>
      <c r="K153" s="1094"/>
      <c r="L153" s="1094"/>
      <c r="M153" s="1094"/>
      <c r="N153" s="1094"/>
      <c r="O153" s="1094"/>
      <c r="P153" s="1095"/>
      <c r="Q153" s="1095"/>
      <c r="R153" s="1094"/>
      <c r="S153" s="1094"/>
      <c r="T153" s="1094"/>
      <c r="U153" s="1094"/>
      <c r="V153" s="1094"/>
      <c r="W153" s="1094"/>
      <c r="X153" s="1094"/>
      <c r="Y153" s="1094"/>
      <c r="Z153" s="1094"/>
      <c r="AA153" s="1094"/>
      <c r="AB153" s="1094"/>
    </row>
    <row r="154" spans="1:28" s="964" customFormat="1" ht="27" customHeight="1">
      <c r="A154" s="1096"/>
      <c r="B154" s="1096"/>
      <c r="C154" s="1097"/>
      <c r="D154" s="950"/>
      <c r="E154" s="950"/>
      <c r="F154" s="950"/>
      <c r="G154" s="950"/>
      <c r="H154" s="950"/>
      <c r="I154" s="950"/>
      <c r="J154" s="950"/>
      <c r="K154" s="950"/>
      <c r="L154" s="950"/>
      <c r="M154" s="950"/>
      <c r="N154" s="950"/>
      <c r="O154" s="950"/>
      <c r="P154" s="1098"/>
      <c r="Q154" s="1098"/>
      <c r="R154" s="950"/>
      <c r="S154" s="950"/>
      <c r="T154" s="950"/>
      <c r="U154" s="950"/>
      <c r="V154" s="950"/>
      <c r="W154" s="950"/>
      <c r="X154" s="950"/>
      <c r="Y154" s="950"/>
      <c r="Z154" s="950"/>
      <c r="AA154" s="950"/>
      <c r="AB154" s="950"/>
    </row>
    <row r="155" spans="1:17" s="964" customFormat="1" ht="35.25" customHeight="1" thickBot="1">
      <c r="A155" s="998"/>
      <c r="B155" s="998"/>
      <c r="C155" s="1099" t="s">
        <v>947</v>
      </c>
      <c r="D155" s="828">
        <f>E155+F155+G155</f>
        <v>135000</v>
      </c>
      <c r="E155" s="1100">
        <f>E159</f>
        <v>135000</v>
      </c>
      <c r="F155" s="828"/>
      <c r="G155" s="1101"/>
      <c r="H155" s="828">
        <f>I155+J155+K155</f>
        <v>26000</v>
      </c>
      <c r="I155" s="1100"/>
      <c r="J155" s="1100">
        <f>J156</f>
        <v>26000</v>
      </c>
      <c r="K155" s="828"/>
      <c r="L155" s="1102">
        <f>N155</f>
        <v>26000</v>
      </c>
      <c r="M155" s="1100"/>
      <c r="N155" s="828">
        <f>N156</f>
        <v>26000</v>
      </c>
      <c r="O155" s="828"/>
      <c r="P155" s="1103">
        <f>L155/H155</f>
        <v>1</v>
      </c>
      <c r="Q155" s="829"/>
    </row>
    <row r="156" spans="1:17" s="964" customFormat="1" ht="35.25" customHeight="1" thickTop="1">
      <c r="A156" s="1104">
        <v>754</v>
      </c>
      <c r="B156" s="1104"/>
      <c r="C156" s="1105" t="s">
        <v>344</v>
      </c>
      <c r="D156" s="707"/>
      <c r="E156" s="721"/>
      <c r="F156" s="707"/>
      <c r="G156" s="1106"/>
      <c r="H156" s="960">
        <f>I156+J156+K156</f>
        <v>26000</v>
      </c>
      <c r="I156" s="721"/>
      <c r="J156" s="707">
        <f>SUM(J157)</f>
        <v>26000</v>
      </c>
      <c r="K156" s="707"/>
      <c r="L156" s="1059">
        <f>N156</f>
        <v>26000</v>
      </c>
      <c r="M156" s="721"/>
      <c r="N156" s="707">
        <f>N157</f>
        <v>26000</v>
      </c>
      <c r="O156" s="707"/>
      <c r="P156" s="1107">
        <f>L156/H156</f>
        <v>1</v>
      </c>
      <c r="Q156" s="708"/>
    </row>
    <row r="157" spans="1:17" s="964" customFormat="1" ht="30.75" customHeight="1">
      <c r="A157" s="973"/>
      <c r="B157" s="1069">
        <v>75411</v>
      </c>
      <c r="C157" s="1108" t="s">
        <v>564</v>
      </c>
      <c r="D157" s="712"/>
      <c r="E157" s="723"/>
      <c r="F157" s="712"/>
      <c r="G157" s="1070"/>
      <c r="H157" s="1109">
        <f>I157+J157+K157</f>
        <v>26000</v>
      </c>
      <c r="I157" s="723"/>
      <c r="J157" s="712">
        <f>SUM(J158)</f>
        <v>26000</v>
      </c>
      <c r="K157" s="712"/>
      <c r="L157" s="1043">
        <f>N157</f>
        <v>26000</v>
      </c>
      <c r="M157" s="723"/>
      <c r="N157" s="712">
        <f>N158</f>
        <v>26000</v>
      </c>
      <c r="O157" s="712"/>
      <c r="P157" s="713">
        <f>L157/H157</f>
        <v>1</v>
      </c>
      <c r="Q157" s="713"/>
    </row>
    <row r="158" spans="1:17" s="964" customFormat="1" ht="28.5" customHeight="1">
      <c r="A158" s="1110"/>
      <c r="B158" s="1111"/>
      <c r="C158" s="1112" t="s">
        <v>948</v>
      </c>
      <c r="D158" s="717"/>
      <c r="E158" s="1113"/>
      <c r="F158" s="717"/>
      <c r="G158" s="1114"/>
      <c r="H158" s="1115">
        <f>I158+J158+K158</f>
        <v>26000</v>
      </c>
      <c r="I158" s="1113"/>
      <c r="J158" s="717">
        <v>26000</v>
      </c>
      <c r="K158" s="717"/>
      <c r="L158" s="1116">
        <f>N158</f>
        <v>26000</v>
      </c>
      <c r="M158" s="1113"/>
      <c r="N158" s="717">
        <v>26000</v>
      </c>
      <c r="O158" s="717"/>
      <c r="P158" s="1039">
        <f>L158/H158</f>
        <v>1</v>
      </c>
      <c r="Q158" s="718"/>
    </row>
    <row r="159" spans="1:17" s="964" customFormat="1" ht="30" customHeight="1">
      <c r="A159" s="1056">
        <v>900</v>
      </c>
      <c r="B159" s="1057"/>
      <c r="C159" s="1058" t="s">
        <v>413</v>
      </c>
      <c r="D159" s="960">
        <f>E159+F159+G159</f>
        <v>135000</v>
      </c>
      <c r="E159" s="961">
        <f>E160+E168+E171</f>
        <v>135000</v>
      </c>
      <c r="F159" s="960"/>
      <c r="G159" s="959"/>
      <c r="H159" s="960"/>
      <c r="I159" s="961"/>
      <c r="J159" s="960"/>
      <c r="K159" s="960"/>
      <c r="L159" s="962"/>
      <c r="M159" s="961"/>
      <c r="N159" s="960"/>
      <c r="O159" s="960"/>
      <c r="P159" s="963"/>
      <c r="Q159" s="963"/>
    </row>
    <row r="160" spans="1:17" s="964" customFormat="1" ht="20.25" customHeight="1">
      <c r="A160" s="941"/>
      <c r="B160" s="1069">
        <v>90003</v>
      </c>
      <c r="C160" s="1117" t="s">
        <v>414</v>
      </c>
      <c r="D160" s="712">
        <f>E160+F160+G160</f>
        <v>135000</v>
      </c>
      <c r="E160" s="723">
        <f>E161</f>
        <v>135000</v>
      </c>
      <c r="F160" s="712"/>
      <c r="G160" s="1070"/>
      <c r="H160" s="712"/>
      <c r="I160" s="723"/>
      <c r="J160" s="712"/>
      <c r="K160" s="712"/>
      <c r="L160" s="1043"/>
      <c r="M160" s="723"/>
      <c r="N160" s="712"/>
      <c r="O160" s="712"/>
      <c r="P160" s="713"/>
      <c r="Q160" s="713"/>
    </row>
    <row r="161" spans="1:17" s="964" customFormat="1" ht="30" customHeight="1">
      <c r="A161" s="941"/>
      <c r="B161" s="941"/>
      <c r="C161" s="999" t="s">
        <v>949</v>
      </c>
      <c r="D161" s="1000">
        <f>E161+F161+G161</f>
        <v>135000</v>
      </c>
      <c r="E161" s="1001">
        <v>135000</v>
      </c>
      <c r="F161" s="1000"/>
      <c r="G161" s="1002"/>
      <c r="H161" s="1000"/>
      <c r="I161" s="1001"/>
      <c r="J161" s="1000"/>
      <c r="K161" s="1000"/>
      <c r="L161" s="1003"/>
      <c r="M161" s="1001"/>
      <c r="N161" s="1000"/>
      <c r="O161" s="1000"/>
      <c r="P161" s="1004"/>
      <c r="Q161" s="1004"/>
    </row>
    <row r="162" spans="1:17" s="957" customFormat="1" ht="21" customHeight="1" thickBot="1">
      <c r="A162" s="965"/>
      <c r="B162" s="965"/>
      <c r="C162" s="952" t="s">
        <v>790</v>
      </c>
      <c r="D162" s="953">
        <f>E162+F162+G162</f>
        <v>155000</v>
      </c>
      <c r="E162" s="954"/>
      <c r="F162" s="953"/>
      <c r="G162" s="952">
        <f>G164+G171</f>
        <v>155000</v>
      </c>
      <c r="H162" s="953">
        <f>I162+J162+K162</f>
        <v>179000</v>
      </c>
      <c r="I162" s="954"/>
      <c r="J162" s="953"/>
      <c r="K162" s="953">
        <f>K164+K171</f>
        <v>179000</v>
      </c>
      <c r="L162" s="955">
        <f>SUM(M162:O162)</f>
        <v>98915</v>
      </c>
      <c r="M162" s="954"/>
      <c r="N162" s="953"/>
      <c r="O162" s="953">
        <f>O164+O171</f>
        <v>98915</v>
      </c>
      <c r="P162" s="956">
        <f>L162/H162</f>
        <v>0.5525977653631285</v>
      </c>
      <c r="Q162" s="956"/>
    </row>
    <row r="163" spans="1:17" s="950" customFormat="1" ht="18.75" customHeight="1" thickTop="1">
      <c r="A163" s="941"/>
      <c r="B163" s="941"/>
      <c r="C163" s="942" t="s">
        <v>308</v>
      </c>
      <c r="D163" s="947"/>
      <c r="E163" s="946"/>
      <c r="F163" s="947"/>
      <c r="G163" s="942"/>
      <c r="H163" s="947"/>
      <c r="I163" s="946"/>
      <c r="J163" s="947"/>
      <c r="K163" s="947"/>
      <c r="L163" s="948"/>
      <c r="M163" s="946"/>
      <c r="N163" s="947"/>
      <c r="O163" s="947"/>
      <c r="P163" s="949"/>
      <c r="Q163" s="949"/>
    </row>
    <row r="164" spans="1:17" s="1125" customFormat="1" ht="30.75" customHeight="1">
      <c r="A164" s="1118"/>
      <c r="B164" s="1118"/>
      <c r="C164" s="1119" t="s">
        <v>791</v>
      </c>
      <c r="D164" s="1120">
        <f aca="true" t="shared" si="29" ref="D164:D171">E164+F164+G164</f>
        <v>145000</v>
      </c>
      <c r="E164" s="1121"/>
      <c r="F164" s="1120"/>
      <c r="G164" s="1122">
        <f>G165+G168</f>
        <v>145000</v>
      </c>
      <c r="H164" s="1120">
        <f aca="true" t="shared" si="30" ref="H164:H177">I164+J164+K164</f>
        <v>165000</v>
      </c>
      <c r="I164" s="1121"/>
      <c r="J164" s="1120"/>
      <c r="K164" s="1120">
        <f>K165+K168</f>
        <v>165000</v>
      </c>
      <c r="L164" s="1123">
        <f>SUM(M164:O164)</f>
        <v>85000</v>
      </c>
      <c r="M164" s="1121"/>
      <c r="N164" s="1120"/>
      <c r="O164" s="1120">
        <f>O165+O168</f>
        <v>85000</v>
      </c>
      <c r="P164" s="1124">
        <f aca="true" t="shared" si="31" ref="P164:P177">L164/H164</f>
        <v>0.5151515151515151</v>
      </c>
      <c r="Q164" s="1124"/>
    </row>
    <row r="165" spans="1:17" s="890" customFormat="1" ht="19.5" customHeight="1">
      <c r="A165" s="958">
        <v>853</v>
      </c>
      <c r="B165" s="958"/>
      <c r="C165" s="1126" t="s">
        <v>395</v>
      </c>
      <c r="D165" s="1029">
        <f t="shared" si="29"/>
        <v>6000</v>
      </c>
      <c r="E165" s="1030"/>
      <c r="F165" s="1029"/>
      <c r="G165" s="1028">
        <f>G166</f>
        <v>6000</v>
      </c>
      <c r="H165" s="1029">
        <f t="shared" si="30"/>
        <v>26000</v>
      </c>
      <c r="I165" s="1030"/>
      <c r="J165" s="1029"/>
      <c r="K165" s="1029">
        <f>K166</f>
        <v>26000</v>
      </c>
      <c r="L165" s="1031">
        <f>SUM(M165:O165)</f>
        <v>26000</v>
      </c>
      <c r="M165" s="1030"/>
      <c r="N165" s="1029"/>
      <c r="O165" s="1029">
        <f>O166</f>
        <v>26000</v>
      </c>
      <c r="P165" s="1032">
        <f t="shared" si="31"/>
        <v>1</v>
      </c>
      <c r="Q165" s="1032"/>
    </row>
    <row r="166" spans="1:17" s="890" customFormat="1" ht="19.5" customHeight="1">
      <c r="A166" s="1127"/>
      <c r="B166" s="1069">
        <v>85303</v>
      </c>
      <c r="C166" s="1117" t="s">
        <v>396</v>
      </c>
      <c r="D166" s="712">
        <f t="shared" si="29"/>
        <v>6000</v>
      </c>
      <c r="E166" s="723"/>
      <c r="F166" s="712"/>
      <c r="G166" s="1070">
        <f>G167</f>
        <v>6000</v>
      </c>
      <c r="H166" s="712">
        <f t="shared" si="30"/>
        <v>26000</v>
      </c>
      <c r="I166" s="723"/>
      <c r="J166" s="712"/>
      <c r="K166" s="712">
        <f>K167</f>
        <v>26000</v>
      </c>
      <c r="L166" s="1043">
        <f>SUM(M166:O166)</f>
        <v>26000</v>
      </c>
      <c r="M166" s="723"/>
      <c r="N166" s="712"/>
      <c r="O166" s="712">
        <f>O167</f>
        <v>26000</v>
      </c>
      <c r="P166" s="713">
        <f t="shared" si="31"/>
        <v>1</v>
      </c>
      <c r="Q166" s="713"/>
    </row>
    <row r="167" spans="1:17" s="890" customFormat="1" ht="18.75" customHeight="1">
      <c r="A167" s="1127"/>
      <c r="B167" s="1127"/>
      <c r="C167" s="1128" t="s">
        <v>902</v>
      </c>
      <c r="D167" s="749">
        <f t="shared" si="29"/>
        <v>6000</v>
      </c>
      <c r="E167" s="1129"/>
      <c r="F167" s="749"/>
      <c r="G167" s="1130">
        <v>6000</v>
      </c>
      <c r="H167" s="749">
        <f t="shared" si="30"/>
        <v>26000</v>
      </c>
      <c r="I167" s="1129"/>
      <c r="J167" s="749"/>
      <c r="K167" s="749">
        <v>26000</v>
      </c>
      <c r="L167" s="1131">
        <f>SUM(M167:O167)</f>
        <v>26000</v>
      </c>
      <c r="M167" s="1129"/>
      <c r="N167" s="749"/>
      <c r="O167" s="749">
        <v>26000</v>
      </c>
      <c r="P167" s="750">
        <f t="shared" si="31"/>
        <v>1</v>
      </c>
      <c r="Q167" s="750"/>
    </row>
    <row r="168" spans="1:17" s="964" customFormat="1" ht="30.75" customHeight="1">
      <c r="A168" s="1045">
        <v>900</v>
      </c>
      <c r="B168" s="958"/>
      <c r="C168" s="1046" t="s">
        <v>413</v>
      </c>
      <c r="D168" s="1029">
        <f t="shared" si="29"/>
        <v>139000</v>
      </c>
      <c r="E168" s="1030"/>
      <c r="F168" s="1029"/>
      <c r="G168" s="1028">
        <f>G169</f>
        <v>139000</v>
      </c>
      <c r="H168" s="1029">
        <f t="shared" si="30"/>
        <v>139000</v>
      </c>
      <c r="I168" s="1030"/>
      <c r="J168" s="1029"/>
      <c r="K168" s="1029">
        <f>K169</f>
        <v>139000</v>
      </c>
      <c r="L168" s="1031">
        <f>O168</f>
        <v>59000</v>
      </c>
      <c r="M168" s="1030"/>
      <c r="N168" s="1029"/>
      <c r="O168" s="1029">
        <f>O169</f>
        <v>59000</v>
      </c>
      <c r="P168" s="732">
        <f t="shared" si="31"/>
        <v>0.4244604316546763</v>
      </c>
      <c r="Q168" s="1032"/>
    </row>
    <row r="169" spans="1:17" s="957" customFormat="1" ht="20.25" customHeight="1">
      <c r="A169" s="965"/>
      <c r="B169" s="951">
        <v>90015</v>
      </c>
      <c r="C169" s="1040" t="s">
        <v>419</v>
      </c>
      <c r="D169" s="1041">
        <f t="shared" si="29"/>
        <v>139000</v>
      </c>
      <c r="E169" s="1042"/>
      <c r="F169" s="1041"/>
      <c r="G169" s="1040">
        <f>G170</f>
        <v>139000</v>
      </c>
      <c r="H169" s="1041">
        <f t="shared" si="30"/>
        <v>139000</v>
      </c>
      <c r="I169" s="1042"/>
      <c r="J169" s="1041"/>
      <c r="K169" s="1041">
        <f>K170</f>
        <v>139000</v>
      </c>
      <c r="L169" s="1049">
        <f>O169</f>
        <v>59000</v>
      </c>
      <c r="M169" s="1042"/>
      <c r="N169" s="1041"/>
      <c r="O169" s="1041">
        <f>O170</f>
        <v>59000</v>
      </c>
      <c r="P169" s="713">
        <f t="shared" si="31"/>
        <v>0.4244604316546763</v>
      </c>
      <c r="Q169" s="1050"/>
    </row>
    <row r="170" spans="1:17" s="964" customFormat="1" ht="19.5" customHeight="1">
      <c r="A170" s="941"/>
      <c r="B170" s="973"/>
      <c r="C170" s="1037" t="s">
        <v>929</v>
      </c>
      <c r="D170" s="1035">
        <f t="shared" si="29"/>
        <v>139000</v>
      </c>
      <c r="E170" s="1036"/>
      <c r="F170" s="1035"/>
      <c r="G170" s="1037">
        <f>59000+80000</f>
        <v>139000</v>
      </c>
      <c r="H170" s="1035">
        <f t="shared" si="30"/>
        <v>139000</v>
      </c>
      <c r="I170" s="1036"/>
      <c r="J170" s="1035"/>
      <c r="K170" s="1035">
        <f>59000+80000</f>
        <v>139000</v>
      </c>
      <c r="L170" s="1038">
        <f>O170</f>
        <v>59000</v>
      </c>
      <c r="M170" s="1036"/>
      <c r="N170" s="1035"/>
      <c r="O170" s="1035">
        <v>59000</v>
      </c>
      <c r="P170" s="718">
        <f t="shared" si="31"/>
        <v>0.4244604316546763</v>
      </c>
      <c r="Q170" s="1039"/>
    </row>
    <row r="171" spans="1:17" s="1125" customFormat="1" ht="45" customHeight="1">
      <c r="A171" s="1118"/>
      <c r="B171" s="1118"/>
      <c r="C171" s="1119" t="s">
        <v>809</v>
      </c>
      <c r="D171" s="1120">
        <f t="shared" si="29"/>
        <v>10000</v>
      </c>
      <c r="E171" s="1121"/>
      <c r="F171" s="1120"/>
      <c r="G171" s="1122">
        <f>G175</f>
        <v>10000</v>
      </c>
      <c r="H171" s="1120">
        <f t="shared" si="30"/>
        <v>14000</v>
      </c>
      <c r="I171" s="1121"/>
      <c r="J171" s="1120"/>
      <c r="K171" s="1120">
        <f>K175+K172</f>
        <v>14000</v>
      </c>
      <c r="L171" s="1123">
        <f aca="true" t="shared" si="32" ref="L171:L177">SUM(M171:O171)</f>
        <v>13915</v>
      </c>
      <c r="M171" s="1121"/>
      <c r="N171" s="1120"/>
      <c r="O171" s="1120">
        <f>O175+O172</f>
        <v>13915</v>
      </c>
      <c r="P171" s="1124">
        <f t="shared" si="31"/>
        <v>0.9939285714285714</v>
      </c>
      <c r="Q171" s="1124"/>
    </row>
    <row r="172" spans="1:17" s="964" customFormat="1" ht="20.25" customHeight="1">
      <c r="A172" s="1045">
        <v>710</v>
      </c>
      <c r="B172" s="958"/>
      <c r="C172" s="1046" t="s">
        <v>332</v>
      </c>
      <c r="D172" s="1029"/>
      <c r="E172" s="1030"/>
      <c r="F172" s="1029"/>
      <c r="G172" s="1028">
        <f>G173</f>
        <v>10000</v>
      </c>
      <c r="H172" s="1029">
        <f t="shared" si="30"/>
        <v>4000</v>
      </c>
      <c r="I172" s="1030"/>
      <c r="J172" s="1029"/>
      <c r="K172" s="1029">
        <f>K173</f>
        <v>4000</v>
      </c>
      <c r="L172" s="1031">
        <f t="shared" si="32"/>
        <v>3944</v>
      </c>
      <c r="M172" s="1030"/>
      <c r="N172" s="1029"/>
      <c r="O172" s="1029">
        <f>O173</f>
        <v>3944</v>
      </c>
      <c r="P172" s="1032">
        <f t="shared" si="31"/>
        <v>0.986</v>
      </c>
      <c r="Q172" s="1032"/>
    </row>
    <row r="173" spans="1:17" s="957" customFormat="1" ht="19.5" customHeight="1">
      <c r="A173" s="965"/>
      <c r="B173" s="1055">
        <v>71015</v>
      </c>
      <c r="C173" s="1048" t="s">
        <v>500</v>
      </c>
      <c r="D173" s="1041"/>
      <c r="E173" s="1042"/>
      <c r="F173" s="1041"/>
      <c r="G173" s="1040">
        <f>G174</f>
        <v>10000</v>
      </c>
      <c r="H173" s="1041">
        <f t="shared" si="30"/>
        <v>4000</v>
      </c>
      <c r="I173" s="1042"/>
      <c r="J173" s="1041"/>
      <c r="K173" s="1041">
        <f>K174</f>
        <v>4000</v>
      </c>
      <c r="L173" s="1049">
        <f t="shared" si="32"/>
        <v>3944</v>
      </c>
      <c r="M173" s="1042"/>
      <c r="N173" s="1041"/>
      <c r="O173" s="1041">
        <f>O174</f>
        <v>3944</v>
      </c>
      <c r="P173" s="1050">
        <f t="shared" si="31"/>
        <v>0.986</v>
      </c>
      <c r="Q173" s="1050"/>
    </row>
    <row r="174" spans="1:17" s="964" customFormat="1" ht="20.25" customHeight="1">
      <c r="A174" s="998"/>
      <c r="B174" s="998"/>
      <c r="C174" s="999" t="s">
        <v>902</v>
      </c>
      <c r="D174" s="1035"/>
      <c r="E174" s="1036"/>
      <c r="F174" s="1035"/>
      <c r="G174" s="1037">
        <v>10000</v>
      </c>
      <c r="H174" s="1035">
        <f t="shared" si="30"/>
        <v>4000</v>
      </c>
      <c r="I174" s="1001"/>
      <c r="J174" s="1000"/>
      <c r="K174" s="1000">
        <v>4000</v>
      </c>
      <c r="L174" s="1003">
        <f t="shared" si="32"/>
        <v>3944</v>
      </c>
      <c r="M174" s="1001"/>
      <c r="N174" s="1000"/>
      <c r="O174" s="1000">
        <v>3944</v>
      </c>
      <c r="P174" s="1004">
        <f t="shared" si="31"/>
        <v>0.986</v>
      </c>
      <c r="Q174" s="1004"/>
    </row>
    <row r="175" spans="1:17" s="964" customFormat="1" ht="20.25" customHeight="1">
      <c r="A175" s="1045">
        <v>853</v>
      </c>
      <c r="B175" s="958"/>
      <c r="C175" s="1046" t="s">
        <v>395</v>
      </c>
      <c r="D175" s="1029">
        <f>E175+F175+G175</f>
        <v>10000</v>
      </c>
      <c r="E175" s="1030"/>
      <c r="F175" s="1029"/>
      <c r="G175" s="1028">
        <f>G176</f>
        <v>10000</v>
      </c>
      <c r="H175" s="1029">
        <f t="shared" si="30"/>
        <v>10000</v>
      </c>
      <c r="I175" s="1030"/>
      <c r="J175" s="1029"/>
      <c r="K175" s="1029">
        <f>K176</f>
        <v>10000</v>
      </c>
      <c r="L175" s="1031">
        <f t="shared" si="32"/>
        <v>9971</v>
      </c>
      <c r="M175" s="1030"/>
      <c r="N175" s="1029"/>
      <c r="O175" s="1029">
        <f>O176</f>
        <v>9971</v>
      </c>
      <c r="P175" s="1032">
        <f t="shared" si="31"/>
        <v>0.9971</v>
      </c>
      <c r="Q175" s="1032"/>
    </row>
    <row r="176" spans="1:17" s="957" customFormat="1" ht="31.5" customHeight="1">
      <c r="A176" s="965"/>
      <c r="B176" s="1055">
        <v>85321</v>
      </c>
      <c r="C176" s="1048" t="s">
        <v>950</v>
      </c>
      <c r="D176" s="1041">
        <f>E176+F176+G176</f>
        <v>10000</v>
      </c>
      <c r="E176" s="1042"/>
      <c r="F176" s="1041"/>
      <c r="G176" s="1040">
        <f>G177</f>
        <v>10000</v>
      </c>
      <c r="H176" s="1041">
        <f t="shared" si="30"/>
        <v>10000</v>
      </c>
      <c r="I176" s="1042"/>
      <c r="J176" s="1041"/>
      <c r="K176" s="1041">
        <f>K177</f>
        <v>10000</v>
      </c>
      <c r="L176" s="1049">
        <f t="shared" si="32"/>
        <v>9971</v>
      </c>
      <c r="M176" s="1042"/>
      <c r="N176" s="1041"/>
      <c r="O176" s="1041">
        <f>O177</f>
        <v>9971</v>
      </c>
      <c r="P176" s="1050">
        <f t="shared" si="31"/>
        <v>0.9971</v>
      </c>
      <c r="Q176" s="1050"/>
    </row>
    <row r="177" spans="1:17" s="964" customFormat="1" ht="20.25" customHeight="1">
      <c r="A177" s="998"/>
      <c r="B177" s="998"/>
      <c r="C177" s="999" t="s">
        <v>902</v>
      </c>
      <c r="D177" s="1035">
        <f>E177+F177+G177</f>
        <v>10000</v>
      </c>
      <c r="E177" s="1036"/>
      <c r="F177" s="1035"/>
      <c r="G177" s="1037">
        <v>10000</v>
      </c>
      <c r="H177" s="1035">
        <f t="shared" si="30"/>
        <v>10000</v>
      </c>
      <c r="I177" s="1001"/>
      <c r="J177" s="1000"/>
      <c r="K177" s="1000">
        <v>10000</v>
      </c>
      <c r="L177" s="1003">
        <f t="shared" si="32"/>
        <v>9971</v>
      </c>
      <c r="M177" s="1001"/>
      <c r="N177" s="1000"/>
      <c r="O177" s="1000">
        <v>9971</v>
      </c>
      <c r="P177" s="1004">
        <f t="shared" si="31"/>
        <v>0.9971</v>
      </c>
      <c r="Q177" s="1004"/>
    </row>
    <row r="180" ht="12.75">
      <c r="O180" s="1980" t="s">
        <v>449</v>
      </c>
    </row>
    <row r="181" ht="12.75">
      <c r="O181" s="1980" t="s">
        <v>450</v>
      </c>
    </row>
    <row r="182" ht="12.75">
      <c r="O182" s="1980" t="s">
        <v>451</v>
      </c>
    </row>
  </sheetData>
  <mergeCells count="11">
    <mergeCell ref="N8:N10"/>
    <mergeCell ref="O8:O10"/>
    <mergeCell ref="P8:P10"/>
    <mergeCell ref="Q8:Q10"/>
    <mergeCell ref="M8:M10"/>
    <mergeCell ref="H7:H10"/>
    <mergeCell ref="D7:D10"/>
    <mergeCell ref="L7:L10"/>
    <mergeCell ref="I8:I10"/>
    <mergeCell ref="J8:J10"/>
    <mergeCell ref="K8:K10"/>
  </mergeCells>
  <printOptions horizontalCentered="1"/>
  <pageMargins left="0.5118110236220472" right="0.5118110236220472" top="0.6692913385826772" bottom="0.6692913385826772" header="0.5118110236220472" footer="0.5118110236220472"/>
  <pageSetup firstPageNumber="44" useFirstPageNumber="1" horizontalDpi="300" verticalDpi="300" orientation="landscape" paperSize="9" scale="6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2"/>
  <sheetViews>
    <sheetView zoomScale="75" zoomScaleNormal="75" zoomScaleSheetLayoutView="100" workbookViewId="0" topLeftCell="A1">
      <selection activeCell="F120" sqref="F120:F122"/>
    </sheetView>
  </sheetViews>
  <sheetFormatPr defaultColWidth="9.00390625" defaultRowHeight="12.75"/>
  <cols>
    <col min="1" max="1" width="6.00390625" style="694" customWidth="1"/>
    <col min="2" max="2" width="8.625" style="694" customWidth="1"/>
    <col min="3" max="3" width="55.125" style="694" customWidth="1"/>
    <col min="4" max="7" width="18.875" style="694" customWidth="1"/>
    <col min="8" max="16384" width="7.875" style="694" customWidth="1"/>
  </cols>
  <sheetData>
    <row r="1" ht="13.5" customHeight="1">
      <c r="F1" s="876" t="s">
        <v>951</v>
      </c>
    </row>
    <row r="2" spans="3:6" ht="15" customHeight="1">
      <c r="C2" s="680" t="s">
        <v>952</v>
      </c>
      <c r="F2" s="3" t="s">
        <v>977</v>
      </c>
    </row>
    <row r="3" ht="13.5" customHeight="1">
      <c r="F3" s="11" t="s">
        <v>292</v>
      </c>
    </row>
    <row r="4" ht="13.5" customHeight="1">
      <c r="F4" s="11" t="s">
        <v>978</v>
      </c>
    </row>
    <row r="5" ht="13.5" customHeight="1" thickBot="1">
      <c r="G5" s="1132" t="s">
        <v>297</v>
      </c>
    </row>
    <row r="6" spans="1:7" ht="46.5" customHeight="1" thickBot="1" thickTop="1">
      <c r="A6" s="1133" t="s">
        <v>303</v>
      </c>
      <c r="B6" s="1133" t="s">
        <v>607</v>
      </c>
      <c r="C6" s="1134" t="s">
        <v>954</v>
      </c>
      <c r="D6" s="1135" t="s">
        <v>955</v>
      </c>
      <c r="E6" s="1135" t="s">
        <v>956</v>
      </c>
      <c r="F6" s="1135" t="s">
        <v>957</v>
      </c>
      <c r="G6" s="1135" t="s">
        <v>958</v>
      </c>
    </row>
    <row r="7" spans="1:7" ht="14.25" customHeight="1" thickBot="1" thickTop="1">
      <c r="A7" s="1136">
        <v>1</v>
      </c>
      <c r="B7" s="1136">
        <v>2</v>
      </c>
      <c r="C7" s="1136">
        <v>3</v>
      </c>
      <c r="D7" s="686">
        <v>4</v>
      </c>
      <c r="E7" s="686">
        <v>5</v>
      </c>
      <c r="F7" s="686">
        <v>6</v>
      </c>
      <c r="G7" s="686">
        <v>7</v>
      </c>
    </row>
    <row r="8" spans="1:7" ht="22.5" customHeight="1" thickBot="1" thickTop="1">
      <c r="A8" s="886"/>
      <c r="B8" s="886"/>
      <c r="C8" s="33" t="s">
        <v>959</v>
      </c>
      <c r="D8" s="1137">
        <f>D10+D111</f>
        <v>9558000</v>
      </c>
      <c r="E8" s="1137">
        <f>E10+E111+E107</f>
        <v>11494410</v>
      </c>
      <c r="F8" s="1137">
        <f>F10+F111+E107</f>
        <v>10403942</v>
      </c>
      <c r="G8" s="1138">
        <f>F8/E8</f>
        <v>0.9051305808649596</v>
      </c>
    </row>
    <row r="9" spans="1:7" ht="12" customHeight="1">
      <c r="A9" s="1139"/>
      <c r="B9" s="1139"/>
      <c r="C9" s="1140" t="s">
        <v>308</v>
      </c>
      <c r="D9" s="1141"/>
      <c r="E9" s="1141"/>
      <c r="F9" s="1141"/>
      <c r="G9" s="1142"/>
    </row>
    <row r="10" spans="1:7" s="719" customFormat="1" ht="21.75" customHeight="1" thickBot="1">
      <c r="A10" s="1143"/>
      <c r="B10" s="1143"/>
      <c r="C10" s="1144" t="s">
        <v>960</v>
      </c>
      <c r="D10" s="1145">
        <f>D11+D16+D54+D94+D59+D68+D82+D91</f>
        <v>9425000</v>
      </c>
      <c r="E10" s="1145">
        <f>E11+E16+E54+E94+E59+E68+E82+E91+E71</f>
        <v>11160762</v>
      </c>
      <c r="F10" s="1145">
        <f>F11+F16+F54+F94+F59+F68+F82+F91+F71</f>
        <v>10070449</v>
      </c>
      <c r="G10" s="1146">
        <f aca="true" t="shared" si="0" ref="G10:G26">F10/E10</f>
        <v>0.9023083728512444</v>
      </c>
    </row>
    <row r="11" spans="1:7" ht="19.5" customHeight="1" thickTop="1">
      <c r="A11" s="1147">
        <v>600</v>
      </c>
      <c r="B11" s="1147"/>
      <c r="C11" s="1147" t="s">
        <v>434</v>
      </c>
      <c r="D11" s="1148">
        <f>D12+D14</f>
        <v>2800000</v>
      </c>
      <c r="E11" s="1148">
        <f>E12+E14</f>
        <v>3080482</v>
      </c>
      <c r="F11" s="1148">
        <f>F12+F14</f>
        <v>3058134</v>
      </c>
      <c r="G11" s="1149">
        <f t="shared" si="0"/>
        <v>0.9927452911589809</v>
      </c>
    </row>
    <row r="12" spans="1:7" ht="19.5" customHeight="1">
      <c r="A12" s="1139"/>
      <c r="B12" s="663">
        <v>60015</v>
      </c>
      <c r="C12" s="663" t="s">
        <v>547</v>
      </c>
      <c r="D12" s="1150">
        <f>D13</f>
        <v>2000000</v>
      </c>
      <c r="E12" s="1150">
        <f>E13</f>
        <v>2350066</v>
      </c>
      <c r="F12" s="1150">
        <f>F13</f>
        <v>2327718</v>
      </c>
      <c r="G12" s="1151">
        <f t="shared" si="0"/>
        <v>0.9904904798418427</v>
      </c>
    </row>
    <row r="13" spans="1:7" ht="21" customHeight="1">
      <c r="A13" s="403"/>
      <c r="B13" s="369"/>
      <c r="C13" s="386" t="s">
        <v>623</v>
      </c>
      <c r="D13" s="1152">
        <v>2000000</v>
      </c>
      <c r="E13" s="1152">
        <v>2350066</v>
      </c>
      <c r="F13" s="1152">
        <v>2327718</v>
      </c>
      <c r="G13" s="1153">
        <f t="shared" si="0"/>
        <v>0.9904904798418427</v>
      </c>
    </row>
    <row r="14" spans="1:7" ht="21" customHeight="1">
      <c r="A14" s="403"/>
      <c r="B14" s="340">
        <v>60016</v>
      </c>
      <c r="C14" s="340" t="s">
        <v>435</v>
      </c>
      <c r="D14" s="342">
        <f>D15</f>
        <v>800000</v>
      </c>
      <c r="E14" s="342">
        <f>E15</f>
        <v>730416</v>
      </c>
      <c r="F14" s="342">
        <f>F15</f>
        <v>730416</v>
      </c>
      <c r="G14" s="1151">
        <f t="shared" si="0"/>
        <v>1</v>
      </c>
    </row>
    <row r="15" spans="1:7" ht="21" customHeight="1">
      <c r="A15" s="352"/>
      <c r="B15" s="352"/>
      <c r="C15" s="386" t="s">
        <v>623</v>
      </c>
      <c r="D15" s="1152">
        <v>800000</v>
      </c>
      <c r="E15" s="1152">
        <v>730416</v>
      </c>
      <c r="F15" s="1152">
        <v>730416</v>
      </c>
      <c r="G15" s="1153">
        <f t="shared" si="0"/>
        <v>1</v>
      </c>
    </row>
    <row r="16" spans="1:7" ht="21" customHeight="1">
      <c r="A16" s="58">
        <v>700</v>
      </c>
      <c r="B16" s="58"/>
      <c r="C16" s="76" t="s">
        <v>497</v>
      </c>
      <c r="D16" s="558">
        <f>D17</f>
        <v>4900000</v>
      </c>
      <c r="E16" s="558">
        <f>E17+E52</f>
        <v>5023000</v>
      </c>
      <c r="F16" s="558">
        <f>SUM(F17+F52)</f>
        <v>4617498</v>
      </c>
      <c r="G16" s="519">
        <f t="shared" si="0"/>
        <v>0.9192709536133784</v>
      </c>
    </row>
    <row r="17" spans="1:7" ht="21" customHeight="1">
      <c r="A17" s="346"/>
      <c r="B17" s="358">
        <v>70001</v>
      </c>
      <c r="C17" s="1154" t="s">
        <v>317</v>
      </c>
      <c r="D17" s="1150">
        <f>D18+D19+D28+D36+D44</f>
        <v>4900000</v>
      </c>
      <c r="E17" s="1150">
        <f>E18+E19+E28+E36+E44</f>
        <v>4900000</v>
      </c>
      <c r="F17" s="1150">
        <f>F18+F19+F28+F36+F44</f>
        <v>4500000</v>
      </c>
      <c r="G17" s="1151">
        <f t="shared" si="0"/>
        <v>0.9183673469387755</v>
      </c>
    </row>
    <row r="18" spans="1:7" ht="32.25" customHeight="1">
      <c r="A18" s="403"/>
      <c r="B18" s="1155"/>
      <c r="C18" s="1156" t="s">
        <v>961</v>
      </c>
      <c r="D18" s="1157">
        <v>100000</v>
      </c>
      <c r="E18" s="1157">
        <v>106403</v>
      </c>
      <c r="F18" s="1157">
        <v>82737</v>
      </c>
      <c r="G18" s="1158">
        <f t="shared" si="0"/>
        <v>0.7775814591693844</v>
      </c>
    </row>
    <row r="19" spans="1:7" ht="22.5" customHeight="1">
      <c r="A19" s="1139"/>
      <c r="B19" s="1139"/>
      <c r="C19" s="1159" t="s">
        <v>962</v>
      </c>
      <c r="D19" s="1150">
        <f>D20+D23+D26</f>
        <v>2420000</v>
      </c>
      <c r="E19" s="1150">
        <f>E20+E23+E26</f>
        <v>1989781</v>
      </c>
      <c r="F19" s="1150">
        <f>F20+F23+F26</f>
        <v>1874813</v>
      </c>
      <c r="G19" s="1151">
        <f t="shared" si="0"/>
        <v>0.9422207770603901</v>
      </c>
    </row>
    <row r="20" spans="1:7" ht="21" customHeight="1">
      <c r="A20" s="1139"/>
      <c r="B20" s="1139"/>
      <c r="C20" s="1160" t="s">
        <v>963</v>
      </c>
      <c r="D20" s="1157">
        <f>SUM(D21:D22)</f>
        <v>80000</v>
      </c>
      <c r="E20" s="1157">
        <f>SUM(E21:E22)</f>
        <v>151798</v>
      </c>
      <c r="F20" s="1157">
        <f>SUM(F21:F22)</f>
        <v>144972</v>
      </c>
      <c r="G20" s="1161">
        <f t="shared" si="0"/>
        <v>0.9550323456172018</v>
      </c>
    </row>
    <row r="21" spans="1:7" ht="21" customHeight="1">
      <c r="A21" s="1139"/>
      <c r="B21" s="1139"/>
      <c r="C21" s="623" t="s">
        <v>964</v>
      </c>
      <c r="D21" s="1162">
        <v>50000</v>
      </c>
      <c r="E21" s="1162">
        <v>122611</v>
      </c>
      <c r="F21" s="1162">
        <v>115785</v>
      </c>
      <c r="G21" s="1163">
        <f t="shared" si="0"/>
        <v>0.944327996672403</v>
      </c>
    </row>
    <row r="22" spans="1:7" ht="21" customHeight="1">
      <c r="A22" s="1139"/>
      <c r="B22" s="1139"/>
      <c r="C22" s="1164" t="s">
        <v>965</v>
      </c>
      <c r="D22" s="1165">
        <v>30000</v>
      </c>
      <c r="E22" s="1165">
        <v>29187</v>
      </c>
      <c r="F22" s="1165">
        <v>29187</v>
      </c>
      <c r="G22" s="1166">
        <f t="shared" si="0"/>
        <v>1</v>
      </c>
    </row>
    <row r="23" spans="1:7" ht="21" customHeight="1">
      <c r="A23" s="1139"/>
      <c r="B23" s="1139"/>
      <c r="C23" s="1167" t="s">
        <v>966</v>
      </c>
      <c r="D23" s="1168">
        <f>SUM(D24:D25)</f>
        <v>2265000</v>
      </c>
      <c r="E23" s="1168">
        <f>SUM(E24:E25)</f>
        <v>1761081</v>
      </c>
      <c r="F23" s="1168">
        <f>SUM(F24:F25)</f>
        <v>1652939</v>
      </c>
      <c r="G23" s="1158">
        <f t="shared" si="0"/>
        <v>0.9385933980322313</v>
      </c>
    </row>
    <row r="24" spans="1:7" ht="21" customHeight="1">
      <c r="A24" s="1139"/>
      <c r="B24" s="1139"/>
      <c r="C24" s="623" t="s">
        <v>967</v>
      </c>
      <c r="D24" s="1162">
        <v>1785000</v>
      </c>
      <c r="E24" s="1162">
        <v>1035857</v>
      </c>
      <c r="F24" s="1162">
        <v>936920</v>
      </c>
      <c r="G24" s="1163">
        <f t="shared" si="0"/>
        <v>0.9044877816146437</v>
      </c>
    </row>
    <row r="25" spans="1:7" ht="21" customHeight="1">
      <c r="A25" s="1139"/>
      <c r="B25" s="1139"/>
      <c r="C25" s="623" t="s">
        <v>968</v>
      </c>
      <c r="D25" s="1162">
        <v>480000</v>
      </c>
      <c r="E25" s="1162">
        <v>725224</v>
      </c>
      <c r="F25" s="1162">
        <v>716019</v>
      </c>
      <c r="G25" s="1163">
        <f t="shared" si="0"/>
        <v>0.9873073698608982</v>
      </c>
    </row>
    <row r="26" spans="1:7" ht="20.25" customHeight="1">
      <c r="A26" s="1169"/>
      <c r="B26" s="1169"/>
      <c r="C26" s="1170" t="s">
        <v>969</v>
      </c>
      <c r="D26" s="1171">
        <v>75000</v>
      </c>
      <c r="E26" s="1171">
        <v>76902</v>
      </c>
      <c r="F26" s="1171">
        <v>76902</v>
      </c>
      <c r="G26" s="1172">
        <f t="shared" si="0"/>
        <v>1</v>
      </c>
    </row>
    <row r="27" spans="1:7" ht="20.25" customHeight="1">
      <c r="A27" s="897"/>
      <c r="B27" s="897"/>
      <c r="C27" s="1173"/>
      <c r="D27" s="1174"/>
      <c r="E27" s="1174"/>
      <c r="F27" s="1174"/>
      <c r="G27" s="1175"/>
    </row>
    <row r="28" spans="1:7" ht="22.5" customHeight="1">
      <c r="A28" s="1139"/>
      <c r="B28" s="1139"/>
      <c r="C28" s="1176" t="s">
        <v>970</v>
      </c>
      <c r="D28" s="1150">
        <f>D29+D32+D35</f>
        <v>1760000</v>
      </c>
      <c r="E28" s="1150">
        <f>E29+E32+E35</f>
        <v>1896890</v>
      </c>
      <c r="F28" s="1150">
        <f>F29+F32+F35</f>
        <v>1713224</v>
      </c>
      <c r="G28" s="1151">
        <f aca="true" t="shared" si="1" ref="G28:G38">F28/E28</f>
        <v>0.9031751972966277</v>
      </c>
    </row>
    <row r="29" spans="1:7" ht="19.5" customHeight="1">
      <c r="A29" s="1139"/>
      <c r="B29" s="1139"/>
      <c r="C29" s="1177" t="s">
        <v>963</v>
      </c>
      <c r="D29" s="1168">
        <f>SUM(D30:D31)</f>
        <v>120000</v>
      </c>
      <c r="E29" s="1168">
        <f>SUM(E30:E31)</f>
        <v>87918</v>
      </c>
      <c r="F29" s="1168">
        <f>SUM(F30:F31)</f>
        <v>74953</v>
      </c>
      <c r="G29" s="1158">
        <f t="shared" si="1"/>
        <v>0.8525330421529153</v>
      </c>
    </row>
    <row r="30" spans="1:7" ht="25.5" customHeight="1">
      <c r="A30" s="1139"/>
      <c r="B30" s="1139"/>
      <c r="C30" s="623" t="s">
        <v>971</v>
      </c>
      <c r="D30" s="1162">
        <v>100000</v>
      </c>
      <c r="E30" s="1162">
        <v>84922</v>
      </c>
      <c r="F30" s="1162">
        <v>71957</v>
      </c>
      <c r="G30" s="1178">
        <f t="shared" si="1"/>
        <v>0.8473304915098561</v>
      </c>
    </row>
    <row r="31" spans="1:7" ht="19.5" customHeight="1">
      <c r="A31" s="1139"/>
      <c r="B31" s="1139"/>
      <c r="C31" s="1164" t="s">
        <v>972</v>
      </c>
      <c r="D31" s="1162">
        <v>20000</v>
      </c>
      <c r="E31" s="1162">
        <v>2996</v>
      </c>
      <c r="F31" s="1162">
        <v>2996</v>
      </c>
      <c r="G31" s="1163">
        <f t="shared" si="1"/>
        <v>1</v>
      </c>
    </row>
    <row r="32" spans="1:12" ht="19.5" customHeight="1">
      <c r="A32" s="1139"/>
      <c r="B32" s="1139"/>
      <c r="C32" s="1177" t="s">
        <v>966</v>
      </c>
      <c r="D32" s="1168">
        <f>D33+D34</f>
        <v>1600000</v>
      </c>
      <c r="E32" s="1168">
        <f>E33+E34</f>
        <v>1800391</v>
      </c>
      <c r="F32" s="1168">
        <f>F33+F34</f>
        <v>1629690</v>
      </c>
      <c r="G32" s="1158">
        <f t="shared" si="1"/>
        <v>0.9051867066653855</v>
      </c>
      <c r="H32" s="719"/>
      <c r="I32" s="719"/>
      <c r="J32" s="719"/>
      <c r="K32" s="719"/>
      <c r="L32" s="719"/>
    </row>
    <row r="33" spans="1:7" ht="19.5" customHeight="1">
      <c r="A33" s="1139"/>
      <c r="B33" s="1139"/>
      <c r="C33" s="623" t="s">
        <v>973</v>
      </c>
      <c r="D33" s="1162">
        <v>1200000</v>
      </c>
      <c r="E33" s="1162">
        <v>1248087</v>
      </c>
      <c r="F33" s="1162">
        <v>1107117</v>
      </c>
      <c r="G33" s="1163">
        <f t="shared" si="1"/>
        <v>0.8870511430693533</v>
      </c>
    </row>
    <row r="34" spans="1:7" ht="19.5" customHeight="1">
      <c r="A34" s="1139"/>
      <c r="B34" s="1139"/>
      <c r="C34" s="623" t="s">
        <v>974</v>
      </c>
      <c r="D34" s="1162">
        <v>400000</v>
      </c>
      <c r="E34" s="1162">
        <v>552304</v>
      </c>
      <c r="F34" s="1162">
        <v>522573</v>
      </c>
      <c r="G34" s="1163">
        <f t="shared" si="1"/>
        <v>0.9461691387351893</v>
      </c>
    </row>
    <row r="35" spans="1:7" ht="19.5" customHeight="1">
      <c r="A35" s="1139"/>
      <c r="B35" s="1139"/>
      <c r="C35" s="1179" t="s">
        <v>969</v>
      </c>
      <c r="D35" s="1180">
        <v>40000</v>
      </c>
      <c r="E35" s="1180">
        <v>8581</v>
      </c>
      <c r="F35" s="1180">
        <v>8581</v>
      </c>
      <c r="G35" s="1181">
        <f t="shared" si="1"/>
        <v>1</v>
      </c>
    </row>
    <row r="36" spans="1:7" ht="19.5" customHeight="1">
      <c r="A36" s="1139"/>
      <c r="B36" s="1139"/>
      <c r="C36" s="1176" t="s">
        <v>975</v>
      </c>
      <c r="D36" s="1150">
        <f>D37+D40+D43</f>
        <v>230000</v>
      </c>
      <c r="E36" s="1150">
        <f>E37+E40+E43</f>
        <v>72936</v>
      </c>
      <c r="F36" s="1150">
        <f>F37+F40+F43</f>
        <v>71236</v>
      </c>
      <c r="G36" s="1151">
        <f t="shared" si="1"/>
        <v>0.9766918942634638</v>
      </c>
    </row>
    <row r="37" spans="1:7" ht="19.5" customHeight="1">
      <c r="A37" s="1139"/>
      <c r="B37" s="1139"/>
      <c r="C37" s="1177" t="s">
        <v>963</v>
      </c>
      <c r="D37" s="1168">
        <f>SUM(D38:D39)</f>
        <v>80000</v>
      </c>
      <c r="E37" s="1168">
        <f>SUM(E38:E39)</f>
        <v>9774</v>
      </c>
      <c r="F37" s="1168">
        <f>SUM(F38:F39)</f>
        <v>8074</v>
      </c>
      <c r="G37" s="1158">
        <f t="shared" si="1"/>
        <v>0.8260691630857376</v>
      </c>
    </row>
    <row r="38" spans="1:7" ht="19.5" customHeight="1">
      <c r="A38" s="1139"/>
      <c r="B38" s="1139"/>
      <c r="C38" s="623" t="s">
        <v>964</v>
      </c>
      <c r="D38" s="1162">
        <v>20000</v>
      </c>
      <c r="E38" s="1162">
        <v>9774</v>
      </c>
      <c r="F38" s="1162">
        <v>8074</v>
      </c>
      <c r="G38" s="1178">
        <f t="shared" si="1"/>
        <v>0.8260691630857376</v>
      </c>
    </row>
    <row r="39" spans="1:7" ht="19.5" customHeight="1">
      <c r="A39" s="1139"/>
      <c r="B39" s="1139"/>
      <c r="C39" s="1182" t="s">
        <v>976</v>
      </c>
      <c r="D39" s="1183">
        <v>60000</v>
      </c>
      <c r="E39" s="1183"/>
      <c r="F39" s="1183"/>
      <c r="G39" s="1184"/>
    </row>
    <row r="40" spans="1:12" ht="19.5" customHeight="1">
      <c r="A40" s="1139"/>
      <c r="B40" s="1139"/>
      <c r="C40" s="1179" t="s">
        <v>966</v>
      </c>
      <c r="D40" s="1180">
        <f>SUM(D41:D42)</f>
        <v>130000</v>
      </c>
      <c r="E40" s="1180">
        <f>SUM(E41:E42)</f>
        <v>59990</v>
      </c>
      <c r="F40" s="1180">
        <f>SUM(F41:F42)</f>
        <v>59990</v>
      </c>
      <c r="G40" s="1181">
        <f aca="true" t="shared" si="2" ref="G40:G77">F40/E40</f>
        <v>1</v>
      </c>
      <c r="H40" s="719"/>
      <c r="I40" s="719"/>
      <c r="J40" s="719"/>
      <c r="K40" s="719"/>
      <c r="L40" s="719"/>
    </row>
    <row r="41" spans="1:7" ht="19.5" customHeight="1">
      <c r="A41" s="1139"/>
      <c r="B41" s="1139"/>
      <c r="C41" s="623" t="s">
        <v>967</v>
      </c>
      <c r="D41" s="1162">
        <v>70000</v>
      </c>
      <c r="E41" s="1162">
        <v>53135</v>
      </c>
      <c r="F41" s="1162">
        <v>53135</v>
      </c>
      <c r="G41" s="1163">
        <f t="shared" si="2"/>
        <v>1</v>
      </c>
    </row>
    <row r="42" spans="1:7" ht="19.5" customHeight="1">
      <c r="A42" s="1139"/>
      <c r="B42" s="1139"/>
      <c r="C42" s="623" t="s">
        <v>987</v>
      </c>
      <c r="D42" s="1165">
        <v>60000</v>
      </c>
      <c r="E42" s="1165">
        <v>6855</v>
      </c>
      <c r="F42" s="1165">
        <v>6855</v>
      </c>
      <c r="G42" s="1166">
        <f t="shared" si="2"/>
        <v>1</v>
      </c>
    </row>
    <row r="43" spans="1:7" ht="19.5" customHeight="1">
      <c r="A43" s="1139"/>
      <c r="B43" s="1139"/>
      <c r="C43" s="1177" t="s">
        <v>969</v>
      </c>
      <c r="D43" s="1168">
        <v>20000</v>
      </c>
      <c r="E43" s="1168">
        <v>3172</v>
      </c>
      <c r="F43" s="1168">
        <v>3172</v>
      </c>
      <c r="G43" s="1181">
        <f t="shared" si="2"/>
        <v>1</v>
      </c>
    </row>
    <row r="44" spans="1:7" ht="19.5" customHeight="1">
      <c r="A44" s="1139"/>
      <c r="B44" s="1139"/>
      <c r="C44" s="1176" t="s">
        <v>988</v>
      </c>
      <c r="D44" s="1150">
        <f>D45+D48+D51</f>
        <v>390000</v>
      </c>
      <c r="E44" s="1150">
        <f>E45+E48+E51</f>
        <v>833990</v>
      </c>
      <c r="F44" s="1150">
        <f>F45+F48+F51</f>
        <v>757990</v>
      </c>
      <c r="G44" s="1151">
        <f t="shared" si="2"/>
        <v>0.9088718090144966</v>
      </c>
    </row>
    <row r="45" spans="1:7" ht="19.5" customHeight="1">
      <c r="A45" s="1139"/>
      <c r="B45" s="1139"/>
      <c r="C45" s="1156" t="s">
        <v>963</v>
      </c>
      <c r="D45" s="1157">
        <f>SUM(D46:D47)</f>
        <v>40000</v>
      </c>
      <c r="E45" s="1157">
        <f>SUM(E46:E47)</f>
        <v>114420</v>
      </c>
      <c r="F45" s="1157">
        <f>SUM(F46:F47)</f>
        <v>104127</v>
      </c>
      <c r="G45" s="1161">
        <f t="shared" si="2"/>
        <v>0.9100419507079182</v>
      </c>
    </row>
    <row r="46" spans="1:7" ht="19.5" customHeight="1">
      <c r="A46" s="1139"/>
      <c r="B46" s="1139"/>
      <c r="C46" s="623" t="s">
        <v>964</v>
      </c>
      <c r="D46" s="1162">
        <v>30000</v>
      </c>
      <c r="E46" s="1162">
        <v>87606</v>
      </c>
      <c r="F46" s="1162">
        <v>80015</v>
      </c>
      <c r="G46" s="1178">
        <f t="shared" si="2"/>
        <v>0.9133506837431227</v>
      </c>
    </row>
    <row r="47" spans="1:7" ht="19.5" customHeight="1">
      <c r="A47" s="1139"/>
      <c r="B47" s="1139"/>
      <c r="C47" s="1164" t="s">
        <v>965</v>
      </c>
      <c r="D47" s="1165">
        <v>10000</v>
      </c>
      <c r="E47" s="1165">
        <v>26814</v>
      </c>
      <c r="F47" s="1165">
        <v>24112</v>
      </c>
      <c r="G47" s="1163">
        <f t="shared" si="2"/>
        <v>0.8992317446110241</v>
      </c>
    </row>
    <row r="48" spans="1:7" ht="19.5" customHeight="1">
      <c r="A48" s="1139"/>
      <c r="B48" s="1139"/>
      <c r="C48" s="1177" t="s">
        <v>966</v>
      </c>
      <c r="D48" s="1168">
        <f>SUM(D49:D50)</f>
        <v>320000</v>
      </c>
      <c r="E48" s="1168">
        <f>SUM(E49:E50)</f>
        <v>631305</v>
      </c>
      <c r="F48" s="1168">
        <f>SUM(F49:F50)</f>
        <v>581947</v>
      </c>
      <c r="G48" s="1158">
        <f t="shared" si="2"/>
        <v>0.9218159209890623</v>
      </c>
    </row>
    <row r="49" spans="1:7" ht="19.5" customHeight="1">
      <c r="A49" s="1139"/>
      <c r="B49" s="1139"/>
      <c r="C49" s="1185" t="s">
        <v>967</v>
      </c>
      <c r="D49" s="1186">
        <v>230000</v>
      </c>
      <c r="E49" s="1186">
        <v>260379</v>
      </c>
      <c r="F49" s="1186">
        <v>254279</v>
      </c>
      <c r="G49" s="1178">
        <f t="shared" si="2"/>
        <v>0.976572611462522</v>
      </c>
    </row>
    <row r="50" spans="1:7" ht="19.5" customHeight="1">
      <c r="A50" s="1139"/>
      <c r="B50" s="1139"/>
      <c r="C50" s="623" t="s">
        <v>968</v>
      </c>
      <c r="D50" s="1162">
        <v>90000</v>
      </c>
      <c r="E50" s="1162">
        <v>370926</v>
      </c>
      <c r="F50" s="1162">
        <v>327668</v>
      </c>
      <c r="G50" s="1163">
        <f t="shared" si="2"/>
        <v>0.8833783557906428</v>
      </c>
    </row>
    <row r="51" spans="1:7" ht="19.5" customHeight="1">
      <c r="A51" s="1139"/>
      <c r="B51" s="1169"/>
      <c r="C51" s="1187" t="s">
        <v>969</v>
      </c>
      <c r="D51" s="1188">
        <v>30000</v>
      </c>
      <c r="E51" s="1188">
        <v>88265</v>
      </c>
      <c r="F51" s="1188">
        <v>71916</v>
      </c>
      <c r="G51" s="1189">
        <f t="shared" si="2"/>
        <v>0.8147736928567383</v>
      </c>
    </row>
    <row r="52" spans="1:7" ht="19.5" customHeight="1">
      <c r="A52" s="1139"/>
      <c r="B52" s="663">
        <v>70005</v>
      </c>
      <c r="C52" s="609" t="s">
        <v>319</v>
      </c>
      <c r="D52" s="1150"/>
      <c r="E52" s="1150">
        <f>E53</f>
        <v>123000</v>
      </c>
      <c r="F52" s="1150">
        <f>F53</f>
        <v>117498</v>
      </c>
      <c r="G52" s="1151">
        <f t="shared" si="2"/>
        <v>0.9552682926829268</v>
      </c>
    </row>
    <row r="53" spans="1:7" ht="19.5" customHeight="1">
      <c r="A53" s="1169"/>
      <c r="B53" s="1169"/>
      <c r="C53" s="353" t="s">
        <v>989</v>
      </c>
      <c r="D53" s="1190"/>
      <c r="E53" s="1190">
        <v>123000</v>
      </c>
      <c r="F53" s="1190">
        <v>117498</v>
      </c>
      <c r="G53" s="1191">
        <f t="shared" si="2"/>
        <v>0.9552682926829268</v>
      </c>
    </row>
    <row r="54" spans="1:7" ht="21" customHeight="1">
      <c r="A54" s="58">
        <v>750</v>
      </c>
      <c r="B54" s="58"/>
      <c r="C54" s="76" t="s">
        <v>336</v>
      </c>
      <c r="D54" s="1148">
        <f>D57+D55</f>
        <v>380000</v>
      </c>
      <c r="E54" s="1148">
        <f>E57+E55</f>
        <v>426000</v>
      </c>
      <c r="F54" s="1148">
        <f>F57+F55</f>
        <v>235722</v>
      </c>
      <c r="G54" s="1149">
        <f t="shared" si="2"/>
        <v>0.5533380281690141</v>
      </c>
    </row>
    <row r="55" spans="1:7" ht="19.5" customHeight="1">
      <c r="A55" s="403"/>
      <c r="B55" s="340">
        <v>75022</v>
      </c>
      <c r="C55" s="340" t="s">
        <v>647</v>
      </c>
      <c r="D55" s="1150">
        <f>D56</f>
        <v>30000</v>
      </c>
      <c r="E55" s="1150">
        <f>E56</f>
        <v>26000</v>
      </c>
      <c r="F55" s="1150">
        <f>F56</f>
        <v>18923</v>
      </c>
      <c r="G55" s="1192">
        <f t="shared" si="2"/>
        <v>0.7278076923076923</v>
      </c>
    </row>
    <row r="56" spans="1:7" ht="19.5" customHeight="1">
      <c r="A56" s="403"/>
      <c r="B56" s="352"/>
      <c r="C56" s="1193" t="s">
        <v>990</v>
      </c>
      <c r="D56" s="1190">
        <v>30000</v>
      </c>
      <c r="E56" s="1190">
        <v>26000</v>
      </c>
      <c r="F56" s="1190">
        <v>18923</v>
      </c>
      <c r="G56" s="1194">
        <f t="shared" si="2"/>
        <v>0.7278076923076923</v>
      </c>
    </row>
    <row r="57" spans="1:7" ht="19.5" customHeight="1">
      <c r="A57" s="403"/>
      <c r="B57" s="340">
        <v>75023</v>
      </c>
      <c r="C57" s="340" t="s">
        <v>337</v>
      </c>
      <c r="D57" s="1150">
        <f>D58</f>
        <v>350000</v>
      </c>
      <c r="E57" s="1150">
        <f>E58</f>
        <v>400000</v>
      </c>
      <c r="F57" s="1150">
        <f>F58</f>
        <v>216799</v>
      </c>
      <c r="G57" s="1151">
        <f t="shared" si="2"/>
        <v>0.5419975</v>
      </c>
    </row>
    <row r="58" spans="1:7" ht="21.75" customHeight="1">
      <c r="A58" s="352"/>
      <c r="B58" s="352"/>
      <c r="C58" s="1193" t="s">
        <v>991</v>
      </c>
      <c r="D58" s="1190">
        <v>350000</v>
      </c>
      <c r="E58" s="1190">
        <v>400000</v>
      </c>
      <c r="F58" s="1190">
        <v>216799</v>
      </c>
      <c r="G58" s="1191">
        <f t="shared" si="2"/>
        <v>0.5419975</v>
      </c>
    </row>
    <row r="59" spans="1:7" ht="21" customHeight="1">
      <c r="A59" s="58">
        <v>801</v>
      </c>
      <c r="B59" s="58"/>
      <c r="C59" s="76" t="s">
        <v>386</v>
      </c>
      <c r="D59" s="1148">
        <f>D60+D62+D64+D66</f>
        <v>300000</v>
      </c>
      <c r="E59" s="1148">
        <f>E60+E62+E64+E66</f>
        <v>952763</v>
      </c>
      <c r="F59" s="1148">
        <f>F62+F64+F66+F60</f>
        <v>532702</v>
      </c>
      <c r="G59" s="1149">
        <f t="shared" si="2"/>
        <v>0.5591128118955081</v>
      </c>
    </row>
    <row r="60" spans="1:7" ht="21" customHeight="1">
      <c r="A60" s="238"/>
      <c r="B60" s="66">
        <v>80101</v>
      </c>
      <c r="C60" s="80" t="s">
        <v>387</v>
      </c>
      <c r="D60" s="1195"/>
      <c r="E60" s="1195">
        <f>E61</f>
        <v>260129</v>
      </c>
      <c r="F60" s="1195">
        <f>F61</f>
        <v>144720</v>
      </c>
      <c r="G60" s="1192">
        <f t="shared" si="2"/>
        <v>0.5563393547047811</v>
      </c>
    </row>
    <row r="61" spans="1:7" ht="21" customHeight="1">
      <c r="A61" s="238"/>
      <c r="B61" s="66"/>
      <c r="C61" s="86" t="s">
        <v>992</v>
      </c>
      <c r="D61" s="1195"/>
      <c r="E61" s="1196">
        <v>260129</v>
      </c>
      <c r="F61" s="1196">
        <v>144720</v>
      </c>
      <c r="G61" s="1194">
        <f t="shared" si="2"/>
        <v>0.5563393547047811</v>
      </c>
    </row>
    <row r="62" spans="1:7" ht="19.5" customHeight="1">
      <c r="A62" s="403"/>
      <c r="B62" s="340">
        <v>80110</v>
      </c>
      <c r="C62" s="340" t="s">
        <v>391</v>
      </c>
      <c r="D62" s="342">
        <f>D63</f>
        <v>100000</v>
      </c>
      <c r="E62" s="342">
        <f>E63</f>
        <v>159086</v>
      </c>
      <c r="F62" s="342">
        <f>F63</f>
        <v>157704</v>
      </c>
      <c r="G62" s="343">
        <f t="shared" si="2"/>
        <v>0.9913128747972795</v>
      </c>
    </row>
    <row r="63" spans="1:7" ht="19.5" customHeight="1">
      <c r="A63" s="403"/>
      <c r="B63" s="352"/>
      <c r="C63" s="1193" t="s">
        <v>992</v>
      </c>
      <c r="D63" s="654">
        <v>100000</v>
      </c>
      <c r="E63" s="654">
        <v>159086</v>
      </c>
      <c r="F63" s="654">
        <v>157704</v>
      </c>
      <c r="G63" s="1197">
        <f t="shared" si="2"/>
        <v>0.9913128747972795</v>
      </c>
    </row>
    <row r="64" spans="1:7" ht="19.5" customHeight="1">
      <c r="A64" s="403"/>
      <c r="B64" s="340">
        <v>80120</v>
      </c>
      <c r="C64" s="1198" t="s">
        <v>511</v>
      </c>
      <c r="D64" s="342">
        <f>D65</f>
        <v>100000</v>
      </c>
      <c r="E64" s="342">
        <f>E65</f>
        <v>422880</v>
      </c>
      <c r="F64" s="342">
        <f>F65</f>
        <v>121058</v>
      </c>
      <c r="G64" s="343">
        <f t="shared" si="2"/>
        <v>0.2862703367385547</v>
      </c>
    </row>
    <row r="65" spans="1:7" ht="19.5" customHeight="1">
      <c r="A65" s="403"/>
      <c r="B65" s="352"/>
      <c r="C65" s="1193" t="s">
        <v>992</v>
      </c>
      <c r="D65" s="654">
        <v>100000</v>
      </c>
      <c r="E65" s="654">
        <v>422880</v>
      </c>
      <c r="F65" s="654">
        <v>121058</v>
      </c>
      <c r="G65" s="1197">
        <f t="shared" si="2"/>
        <v>0.2862703367385547</v>
      </c>
    </row>
    <row r="66" spans="1:7" ht="19.5" customHeight="1">
      <c r="A66" s="403"/>
      <c r="B66" s="340">
        <v>80130</v>
      </c>
      <c r="C66" s="1198" t="s">
        <v>514</v>
      </c>
      <c r="D66" s="342">
        <f>D67</f>
        <v>100000</v>
      </c>
      <c r="E66" s="342">
        <f>E67</f>
        <v>110668</v>
      </c>
      <c r="F66" s="342">
        <f>F67</f>
        <v>109220</v>
      </c>
      <c r="G66" s="343">
        <f t="shared" si="2"/>
        <v>0.9869158202913217</v>
      </c>
    </row>
    <row r="67" spans="1:7" ht="19.5" customHeight="1">
      <c r="A67" s="352"/>
      <c r="B67" s="352"/>
      <c r="C67" s="1193" t="s">
        <v>992</v>
      </c>
      <c r="D67" s="654">
        <v>100000</v>
      </c>
      <c r="E67" s="654">
        <v>110668</v>
      </c>
      <c r="F67" s="654">
        <v>109220</v>
      </c>
      <c r="G67" s="1197">
        <f t="shared" si="2"/>
        <v>0.9869158202913217</v>
      </c>
    </row>
    <row r="68" spans="1:7" ht="19.5" customHeight="1">
      <c r="A68" s="153">
        <v>851</v>
      </c>
      <c r="B68" s="58"/>
      <c r="C68" s="76" t="s">
        <v>393</v>
      </c>
      <c r="D68" s="1148"/>
      <c r="E68" s="1148">
        <f>E69</f>
        <v>79500</v>
      </c>
      <c r="F68" s="1148">
        <f>F69</f>
        <v>79494</v>
      </c>
      <c r="G68" s="1149">
        <f t="shared" si="2"/>
        <v>0.9999245283018868</v>
      </c>
    </row>
    <row r="69" spans="1:7" ht="19.5" customHeight="1">
      <c r="A69" s="403"/>
      <c r="B69" s="340">
        <v>85154</v>
      </c>
      <c r="C69" s="1198" t="s">
        <v>699</v>
      </c>
      <c r="D69" s="342"/>
      <c r="E69" s="342">
        <f>E70</f>
        <v>79500</v>
      </c>
      <c r="F69" s="342">
        <f>F70</f>
        <v>79494</v>
      </c>
      <c r="G69" s="343">
        <f t="shared" si="2"/>
        <v>0.9999245283018868</v>
      </c>
    </row>
    <row r="70" spans="1:7" ht="19.5" customHeight="1">
      <c r="A70" s="352"/>
      <c r="B70" s="352"/>
      <c r="C70" s="1193" t="s">
        <v>993</v>
      </c>
      <c r="D70" s="654"/>
      <c r="E70" s="654">
        <v>79500</v>
      </c>
      <c r="F70" s="654">
        <v>79494</v>
      </c>
      <c r="G70" s="1197">
        <f t="shared" si="2"/>
        <v>0.9999245283018868</v>
      </c>
    </row>
    <row r="71" spans="1:7" ht="19.5" customHeight="1">
      <c r="A71" s="153">
        <v>853</v>
      </c>
      <c r="B71" s="153"/>
      <c r="C71" s="1199" t="s">
        <v>395</v>
      </c>
      <c r="D71" s="486"/>
      <c r="E71" s="486">
        <f>SUM(E72)+E74+E76+E78+E80</f>
        <v>387003</v>
      </c>
      <c r="F71" s="486">
        <f>SUM(F72)+F74+F76+F78+F80</f>
        <v>353498</v>
      </c>
      <c r="G71" s="1149">
        <f t="shared" si="2"/>
        <v>0.9134244437381622</v>
      </c>
    </row>
    <row r="72" spans="1:7" ht="19.5" customHeight="1">
      <c r="A72" s="403"/>
      <c r="B72" s="340">
        <v>85301</v>
      </c>
      <c r="C72" s="1198" t="s">
        <v>520</v>
      </c>
      <c r="D72" s="342"/>
      <c r="E72" s="342">
        <f>SUM(E73)</f>
        <v>132803</v>
      </c>
      <c r="F72" s="342">
        <f>F73</f>
        <v>122595</v>
      </c>
      <c r="G72" s="343">
        <f t="shared" si="2"/>
        <v>0.9231342665451835</v>
      </c>
    </row>
    <row r="73" spans="1:7" ht="19.5" customHeight="1">
      <c r="A73" s="403"/>
      <c r="B73" s="352"/>
      <c r="C73" s="1193" t="s">
        <v>994</v>
      </c>
      <c r="D73" s="654"/>
      <c r="E73" s="654">
        <v>132803</v>
      </c>
      <c r="F73" s="654">
        <v>122595</v>
      </c>
      <c r="G73" s="1197">
        <f t="shared" si="2"/>
        <v>0.9231342665451835</v>
      </c>
    </row>
    <row r="74" spans="1:7" ht="19.5" customHeight="1">
      <c r="A74" s="403"/>
      <c r="B74" s="340">
        <v>85302</v>
      </c>
      <c r="C74" s="1198" t="s">
        <v>523</v>
      </c>
      <c r="D74" s="654"/>
      <c r="E74" s="342">
        <f>SUM(E75)</f>
        <v>132200</v>
      </c>
      <c r="F74" s="342">
        <f>F75</f>
        <v>124450</v>
      </c>
      <c r="G74" s="343">
        <f t="shared" si="2"/>
        <v>0.9413767019667171</v>
      </c>
    </row>
    <row r="75" spans="1:7" ht="19.5" customHeight="1">
      <c r="A75" s="403"/>
      <c r="B75" s="352"/>
      <c r="C75" s="1193" t="s">
        <v>995</v>
      </c>
      <c r="D75" s="654"/>
      <c r="E75" s="654">
        <v>132200</v>
      </c>
      <c r="F75" s="654">
        <v>124450</v>
      </c>
      <c r="G75" s="1197">
        <f t="shared" si="2"/>
        <v>0.9413767019667171</v>
      </c>
    </row>
    <row r="76" spans="1:7" ht="19.5" customHeight="1">
      <c r="A76" s="403"/>
      <c r="B76" s="340">
        <v>85303</v>
      </c>
      <c r="C76" s="1198" t="s">
        <v>396</v>
      </c>
      <c r="D76" s="654"/>
      <c r="E76" s="342">
        <f>SUM(E77)</f>
        <v>10000</v>
      </c>
      <c r="F76" s="342">
        <f>F77</f>
        <v>8757</v>
      </c>
      <c r="G76" s="343">
        <f t="shared" si="2"/>
        <v>0.8757</v>
      </c>
    </row>
    <row r="77" spans="1:7" ht="19.5" customHeight="1">
      <c r="A77" s="403"/>
      <c r="B77" s="403"/>
      <c r="C77" s="1200" t="s">
        <v>996</v>
      </c>
      <c r="D77" s="1201"/>
      <c r="E77" s="1201">
        <v>10000</v>
      </c>
      <c r="F77" s="1201">
        <v>8757</v>
      </c>
      <c r="G77" s="1202">
        <f t="shared" si="2"/>
        <v>0.8757</v>
      </c>
    </row>
    <row r="78" spans="1:7" ht="19.5" customHeight="1">
      <c r="A78" s="403"/>
      <c r="B78" s="358">
        <v>85305</v>
      </c>
      <c r="C78" s="1203" t="s">
        <v>398</v>
      </c>
      <c r="D78" s="360"/>
      <c r="E78" s="360">
        <f>SUM(E79)</f>
        <v>50000</v>
      </c>
      <c r="F78" s="360">
        <f>F79</f>
        <v>49999</v>
      </c>
      <c r="G78" s="361">
        <v>0.9999</v>
      </c>
    </row>
    <row r="79" spans="1:7" ht="19.5" customHeight="1">
      <c r="A79" s="352" t="s">
        <v>997</v>
      </c>
      <c r="B79" s="352"/>
      <c r="C79" s="1193" t="s">
        <v>996</v>
      </c>
      <c r="D79" s="654"/>
      <c r="E79" s="654">
        <v>50000</v>
      </c>
      <c r="F79" s="654">
        <v>49999</v>
      </c>
      <c r="G79" s="1197">
        <v>0.9999</v>
      </c>
    </row>
    <row r="80" spans="1:7" ht="19.5" customHeight="1">
      <c r="A80" s="403"/>
      <c r="B80" s="340">
        <v>85319</v>
      </c>
      <c r="C80" s="1198" t="s">
        <v>404</v>
      </c>
      <c r="D80" s="342"/>
      <c r="E80" s="342">
        <f>E81</f>
        <v>62000</v>
      </c>
      <c r="F80" s="342">
        <f>F81</f>
        <v>47697</v>
      </c>
      <c r="G80" s="343">
        <f aca="true" t="shared" si="3" ref="G80:G104">F80/E80</f>
        <v>0.7693064516129032</v>
      </c>
    </row>
    <row r="81" spans="1:7" ht="19.5" customHeight="1">
      <c r="A81" s="352"/>
      <c r="B81" s="352"/>
      <c r="C81" s="1193" t="s">
        <v>996</v>
      </c>
      <c r="D81" s="654"/>
      <c r="E81" s="654">
        <v>62000</v>
      </c>
      <c r="F81" s="654">
        <v>47697</v>
      </c>
      <c r="G81" s="1197">
        <f t="shared" si="3"/>
        <v>0.7693064516129032</v>
      </c>
    </row>
    <row r="82" spans="1:7" ht="19.5" customHeight="1">
      <c r="A82" s="153">
        <v>854</v>
      </c>
      <c r="B82" s="58"/>
      <c r="C82" s="76" t="s">
        <v>408</v>
      </c>
      <c r="D82" s="1148"/>
      <c r="E82" s="1148">
        <f>E83+E85+E87+E89</f>
        <v>374414</v>
      </c>
      <c r="F82" s="1148">
        <f>F83+F85+F87+F89</f>
        <v>373901</v>
      </c>
      <c r="G82" s="1149">
        <f t="shared" si="3"/>
        <v>0.9986298589262154</v>
      </c>
    </row>
    <row r="83" spans="1:7" ht="19.5" customHeight="1">
      <c r="A83" s="346"/>
      <c r="B83" s="340">
        <v>85403</v>
      </c>
      <c r="C83" s="1198" t="s">
        <v>529</v>
      </c>
      <c r="D83" s="342"/>
      <c r="E83" s="342">
        <f>E84</f>
        <v>50000</v>
      </c>
      <c r="F83" s="342">
        <f>F84</f>
        <v>49958</v>
      </c>
      <c r="G83" s="343">
        <f t="shared" si="3"/>
        <v>0.99916</v>
      </c>
    </row>
    <row r="84" spans="1:7" ht="19.5" customHeight="1">
      <c r="A84" s="403"/>
      <c r="B84" s="352"/>
      <c r="C84" s="1193" t="s">
        <v>998</v>
      </c>
      <c r="D84" s="654"/>
      <c r="E84" s="654">
        <v>50000</v>
      </c>
      <c r="F84" s="654">
        <v>49958</v>
      </c>
      <c r="G84" s="1197">
        <f t="shared" si="3"/>
        <v>0.99916</v>
      </c>
    </row>
    <row r="85" spans="1:7" ht="19.5" customHeight="1">
      <c r="A85" s="403"/>
      <c r="B85" s="340">
        <v>85404</v>
      </c>
      <c r="C85" s="1198" t="s">
        <v>919</v>
      </c>
      <c r="D85" s="342"/>
      <c r="E85" s="342">
        <f>E86</f>
        <v>309146</v>
      </c>
      <c r="F85" s="342">
        <f>F86</f>
        <v>308698</v>
      </c>
      <c r="G85" s="343">
        <f t="shared" si="3"/>
        <v>0.9985508465255899</v>
      </c>
    </row>
    <row r="86" spans="1:7" ht="19.5" customHeight="1">
      <c r="A86" s="403"/>
      <c r="B86" s="352"/>
      <c r="C86" s="1193" t="s">
        <v>996</v>
      </c>
      <c r="D86" s="654"/>
      <c r="E86" s="654">
        <v>309146</v>
      </c>
      <c r="F86" s="654">
        <v>308698</v>
      </c>
      <c r="G86" s="1197">
        <f t="shared" si="3"/>
        <v>0.9985508465255899</v>
      </c>
    </row>
    <row r="87" spans="1:7" ht="19.5" customHeight="1">
      <c r="A87" s="403"/>
      <c r="B87" s="340">
        <v>85410</v>
      </c>
      <c r="C87" s="1198" t="s">
        <v>534</v>
      </c>
      <c r="D87" s="342"/>
      <c r="E87" s="342">
        <f>E88</f>
        <v>4250</v>
      </c>
      <c r="F87" s="342">
        <f>F88</f>
        <v>4237</v>
      </c>
      <c r="G87" s="343">
        <f t="shared" si="3"/>
        <v>0.9969411764705882</v>
      </c>
    </row>
    <row r="88" spans="1:7" ht="18" customHeight="1">
      <c r="A88" s="403"/>
      <c r="B88" s="352"/>
      <c r="C88" s="1193" t="s">
        <v>996</v>
      </c>
      <c r="D88" s="654"/>
      <c r="E88" s="654">
        <v>4250</v>
      </c>
      <c r="F88" s="654">
        <v>4237</v>
      </c>
      <c r="G88" s="1197">
        <f t="shared" si="3"/>
        <v>0.9969411764705882</v>
      </c>
    </row>
    <row r="89" spans="1:7" ht="19.5" customHeight="1">
      <c r="A89" s="403"/>
      <c r="B89" s="340">
        <v>85495</v>
      </c>
      <c r="C89" s="1198" t="s">
        <v>314</v>
      </c>
      <c r="D89" s="342"/>
      <c r="E89" s="342">
        <f>E90</f>
        <v>11018</v>
      </c>
      <c r="F89" s="342">
        <f>F90</f>
        <v>11008</v>
      </c>
      <c r="G89" s="343">
        <f t="shared" si="3"/>
        <v>0.9990923942639317</v>
      </c>
    </row>
    <row r="90" spans="1:7" ht="18" customHeight="1">
      <c r="A90" s="352"/>
      <c r="B90" s="352"/>
      <c r="C90" s="1193" t="s">
        <v>999</v>
      </c>
      <c r="D90" s="654"/>
      <c r="E90" s="654">
        <v>11018</v>
      </c>
      <c r="F90" s="654">
        <v>11008</v>
      </c>
      <c r="G90" s="1197">
        <f t="shared" si="3"/>
        <v>0.9990923942639317</v>
      </c>
    </row>
    <row r="91" spans="1:7" ht="18" customHeight="1">
      <c r="A91" s="153">
        <v>900</v>
      </c>
      <c r="B91" s="58"/>
      <c r="C91" s="76" t="s">
        <v>413</v>
      </c>
      <c r="D91" s="1148"/>
      <c r="E91" s="1148">
        <f>E92</f>
        <v>27600</v>
      </c>
      <c r="F91" s="1148">
        <f>F92</f>
        <v>19967</v>
      </c>
      <c r="G91" s="1149">
        <f t="shared" si="3"/>
        <v>0.7234420289855072</v>
      </c>
    </row>
    <row r="92" spans="1:7" ht="19.5" customHeight="1">
      <c r="A92" s="403"/>
      <c r="B92" s="340">
        <v>90015</v>
      </c>
      <c r="C92" s="1198" t="s">
        <v>419</v>
      </c>
      <c r="D92" s="342"/>
      <c r="E92" s="342">
        <f>E93</f>
        <v>27600</v>
      </c>
      <c r="F92" s="342">
        <f>F93</f>
        <v>19967</v>
      </c>
      <c r="G92" s="343">
        <f t="shared" si="3"/>
        <v>0.7234420289855072</v>
      </c>
    </row>
    <row r="93" spans="1:7" ht="18" customHeight="1">
      <c r="A93" s="352"/>
      <c r="B93" s="352"/>
      <c r="C93" s="1193" t="s">
        <v>1000</v>
      </c>
      <c r="D93" s="654"/>
      <c r="E93" s="654">
        <v>27600</v>
      </c>
      <c r="F93" s="654">
        <v>19967</v>
      </c>
      <c r="G93" s="1197">
        <f t="shared" si="3"/>
        <v>0.7234420289855072</v>
      </c>
    </row>
    <row r="94" spans="1:7" ht="18" customHeight="1">
      <c r="A94" s="1204">
        <v>921</v>
      </c>
      <c r="B94" s="1204"/>
      <c r="C94" s="139" t="s">
        <v>573</v>
      </c>
      <c r="D94" s="1205">
        <f>D99+D95+D97</f>
        <v>1045000</v>
      </c>
      <c r="E94" s="1205">
        <f>E99+E95+E97</f>
        <v>810000</v>
      </c>
      <c r="F94" s="1205">
        <f>F99+F95+F97</f>
        <v>799533</v>
      </c>
      <c r="G94" s="1206">
        <f t="shared" si="3"/>
        <v>0.9870777777777778</v>
      </c>
    </row>
    <row r="95" spans="1:7" ht="19.5" customHeight="1">
      <c r="A95" s="403"/>
      <c r="B95" s="340">
        <v>92109</v>
      </c>
      <c r="C95" s="1198" t="s">
        <v>765</v>
      </c>
      <c r="D95" s="342">
        <f>D96</f>
        <v>35000</v>
      </c>
      <c r="E95" s="342">
        <f>E96</f>
        <v>35000</v>
      </c>
      <c r="F95" s="342">
        <f>F96</f>
        <v>34718</v>
      </c>
      <c r="G95" s="343">
        <f t="shared" si="3"/>
        <v>0.9919428571428571</v>
      </c>
    </row>
    <row r="96" spans="1:7" ht="27" customHeight="1">
      <c r="A96" s="1139"/>
      <c r="B96" s="1207"/>
      <c r="C96" s="386" t="s">
        <v>1001</v>
      </c>
      <c r="D96" s="1208">
        <v>35000</v>
      </c>
      <c r="E96" s="1208">
        <v>35000</v>
      </c>
      <c r="F96" s="1208">
        <v>34718</v>
      </c>
      <c r="G96" s="1197">
        <f t="shared" si="3"/>
        <v>0.9919428571428571</v>
      </c>
    </row>
    <row r="97" spans="1:7" ht="19.5" customHeight="1">
      <c r="A97" s="403"/>
      <c r="B97" s="340">
        <v>92110</v>
      </c>
      <c r="C97" s="1198" t="s">
        <v>769</v>
      </c>
      <c r="D97" s="342"/>
      <c r="E97" s="342">
        <f>E98</f>
        <v>15000</v>
      </c>
      <c r="F97" s="342">
        <f>F98</f>
        <v>5828</v>
      </c>
      <c r="G97" s="343">
        <f t="shared" si="3"/>
        <v>0.38853333333333334</v>
      </c>
    </row>
    <row r="98" spans="1:7" ht="18" customHeight="1">
      <c r="A98" s="1139"/>
      <c r="B98" s="1169"/>
      <c r="C98" s="638" t="s">
        <v>1002</v>
      </c>
      <c r="D98" s="1190"/>
      <c r="E98" s="1190">
        <v>15000</v>
      </c>
      <c r="F98" s="1190">
        <v>5828</v>
      </c>
      <c r="G98" s="1197">
        <f t="shared" si="3"/>
        <v>0.38853333333333334</v>
      </c>
    </row>
    <row r="99" spans="1:7" ht="19.5" customHeight="1">
      <c r="A99" s="403"/>
      <c r="B99" s="340">
        <v>92120</v>
      </c>
      <c r="C99" s="1198" t="s">
        <v>775</v>
      </c>
      <c r="D99" s="342">
        <f>D106+D100</f>
        <v>1010000</v>
      </c>
      <c r="E99" s="342">
        <f>E106+E100</f>
        <v>760000</v>
      </c>
      <c r="F99" s="342">
        <f>F106+F100</f>
        <v>758987</v>
      </c>
      <c r="G99" s="343">
        <f t="shared" si="3"/>
        <v>0.9986671052631579</v>
      </c>
    </row>
    <row r="100" spans="1:7" ht="18" customHeight="1">
      <c r="A100" s="1139"/>
      <c r="B100" s="1139"/>
      <c r="C100" s="1209" t="s">
        <v>777</v>
      </c>
      <c r="D100" s="1210">
        <f>SUM(D101:D105)</f>
        <v>860000</v>
      </c>
      <c r="E100" s="1210">
        <f>SUM(E101:E105)</f>
        <v>610000</v>
      </c>
      <c r="F100" s="1210">
        <f>SUM(F101:F105)</f>
        <v>610000</v>
      </c>
      <c r="G100" s="1211">
        <f t="shared" si="3"/>
        <v>1</v>
      </c>
    </row>
    <row r="101" spans="1:7" s="1216" customFormat="1" ht="16.5" customHeight="1">
      <c r="A101" s="1212"/>
      <c r="B101" s="1212"/>
      <c r="C101" s="1213" t="s">
        <v>1003</v>
      </c>
      <c r="D101" s="1214">
        <v>440000</v>
      </c>
      <c r="E101" s="1214">
        <v>440000</v>
      </c>
      <c r="F101" s="1214">
        <v>440000</v>
      </c>
      <c r="G101" s="1215">
        <f t="shared" si="3"/>
        <v>1</v>
      </c>
    </row>
    <row r="102" spans="1:7" s="719" customFormat="1" ht="27.75" customHeight="1">
      <c r="A102" s="1217"/>
      <c r="B102" s="1217"/>
      <c r="C102" s="1213" t="s">
        <v>1004</v>
      </c>
      <c r="D102" s="1214">
        <v>40000</v>
      </c>
      <c r="E102" s="1214">
        <v>40000</v>
      </c>
      <c r="F102" s="1214">
        <v>40000</v>
      </c>
      <c r="G102" s="1215">
        <f t="shared" si="3"/>
        <v>1</v>
      </c>
    </row>
    <row r="103" spans="1:7" s="719" customFormat="1" ht="27.75" customHeight="1">
      <c r="A103" s="1217"/>
      <c r="B103" s="1217"/>
      <c r="C103" s="1213" t="s">
        <v>1005</v>
      </c>
      <c r="D103" s="1214">
        <v>30000</v>
      </c>
      <c r="E103" s="1214">
        <v>30000</v>
      </c>
      <c r="F103" s="1214">
        <v>30000</v>
      </c>
      <c r="G103" s="1215">
        <f t="shared" si="3"/>
        <v>1</v>
      </c>
    </row>
    <row r="104" spans="1:7" s="1216" customFormat="1" ht="16.5" customHeight="1">
      <c r="A104" s="1212"/>
      <c r="B104" s="1212"/>
      <c r="C104" s="1213" t="s">
        <v>1006</v>
      </c>
      <c r="D104" s="1214">
        <v>100000</v>
      </c>
      <c r="E104" s="1214">
        <v>100000</v>
      </c>
      <c r="F104" s="1214">
        <v>100000</v>
      </c>
      <c r="G104" s="1215">
        <f t="shared" si="3"/>
        <v>1</v>
      </c>
    </row>
    <row r="105" spans="1:7" s="1216" customFormat="1" ht="16.5" customHeight="1">
      <c r="A105" s="1212"/>
      <c r="B105" s="1212"/>
      <c r="C105" s="1213" t="s">
        <v>1007</v>
      </c>
      <c r="D105" s="1214">
        <v>250000</v>
      </c>
      <c r="E105" s="1214"/>
      <c r="F105" s="1214"/>
      <c r="G105" s="1215"/>
    </row>
    <row r="106" spans="1:7" ht="18" customHeight="1">
      <c r="A106" s="1169"/>
      <c r="B106" s="1169"/>
      <c r="C106" s="1218" t="s">
        <v>1008</v>
      </c>
      <c r="D106" s="1190">
        <v>150000</v>
      </c>
      <c r="E106" s="1190">
        <v>150000</v>
      </c>
      <c r="F106" s="1190">
        <v>148987</v>
      </c>
      <c r="G106" s="1191">
        <f aca="true" t="shared" si="4" ref="G106:G117">F106/E106</f>
        <v>0.9932466666666667</v>
      </c>
    </row>
    <row r="107" spans="1:7" ht="18.75" customHeight="1">
      <c r="A107" s="1169"/>
      <c r="B107" s="1169"/>
      <c r="C107" s="1219" t="s">
        <v>1009</v>
      </c>
      <c r="D107" s="1220"/>
      <c r="E107" s="1220">
        <f aca="true" t="shared" si="5" ref="E107:F109">E108</f>
        <v>42870</v>
      </c>
      <c r="F107" s="1220">
        <f t="shared" si="5"/>
        <v>42870</v>
      </c>
      <c r="G107" s="1221">
        <f t="shared" si="4"/>
        <v>1</v>
      </c>
    </row>
    <row r="108" spans="1:7" ht="18.75" customHeight="1">
      <c r="A108" s="1204">
        <v>853</v>
      </c>
      <c r="B108" s="1204"/>
      <c r="C108" s="139" t="s">
        <v>395</v>
      </c>
      <c r="D108" s="579"/>
      <c r="E108" s="579">
        <f t="shared" si="5"/>
        <v>42870</v>
      </c>
      <c r="F108" s="579">
        <f t="shared" si="5"/>
        <v>42870</v>
      </c>
      <c r="G108" s="1222">
        <f t="shared" si="4"/>
        <v>1</v>
      </c>
    </row>
    <row r="109" spans="1:7" ht="18.75" customHeight="1">
      <c r="A109" s="662"/>
      <c r="B109" s="1223">
        <v>85303</v>
      </c>
      <c r="C109" s="1224" t="s">
        <v>396</v>
      </c>
      <c r="D109" s="1225"/>
      <c r="E109" s="1225">
        <f t="shared" si="5"/>
        <v>42870</v>
      </c>
      <c r="F109" s="1225">
        <f t="shared" si="5"/>
        <v>42870</v>
      </c>
      <c r="G109" s="1226">
        <f t="shared" si="4"/>
        <v>1</v>
      </c>
    </row>
    <row r="110" spans="1:7" ht="18.75" customHeight="1">
      <c r="A110" s="1139"/>
      <c r="B110" s="1139"/>
      <c r="C110" s="386" t="s">
        <v>993</v>
      </c>
      <c r="D110" s="1208"/>
      <c r="E110" s="1208">
        <v>42870</v>
      </c>
      <c r="F110" s="1208">
        <v>42870</v>
      </c>
      <c r="G110" s="1227">
        <f t="shared" si="4"/>
        <v>1</v>
      </c>
    </row>
    <row r="111" spans="1:7" s="734" customFormat="1" ht="31.5" customHeight="1">
      <c r="A111" s="1139"/>
      <c r="B111" s="1139"/>
      <c r="C111" s="1228" t="s">
        <v>1010</v>
      </c>
      <c r="D111" s="1229">
        <f>D115</f>
        <v>133000</v>
      </c>
      <c r="E111" s="1229">
        <f>E115+E112</f>
        <v>290778</v>
      </c>
      <c r="F111" s="1229">
        <f>SUM(F112+F115)</f>
        <v>290623</v>
      </c>
      <c r="G111" s="1230">
        <f t="shared" si="4"/>
        <v>0.9994669472931239</v>
      </c>
    </row>
    <row r="112" spans="1:7" s="734" customFormat="1" ht="20.25" customHeight="1">
      <c r="A112" s="1204">
        <v>700</v>
      </c>
      <c r="B112" s="1204"/>
      <c r="C112" s="1204" t="s">
        <v>316</v>
      </c>
      <c r="D112" s="486"/>
      <c r="E112" s="486">
        <f>E113</f>
        <v>7000</v>
      </c>
      <c r="F112" s="486">
        <f>F113</f>
        <v>6845</v>
      </c>
      <c r="G112" s="487">
        <f t="shared" si="4"/>
        <v>0.9778571428571429</v>
      </c>
    </row>
    <row r="113" spans="1:7" s="734" customFormat="1" ht="21.75" customHeight="1">
      <c r="A113" s="1139"/>
      <c r="B113" s="1223">
        <v>70005</v>
      </c>
      <c r="C113" s="399" t="s">
        <v>319</v>
      </c>
      <c r="D113" s="1231"/>
      <c r="E113" s="360">
        <f>E114</f>
        <v>7000</v>
      </c>
      <c r="F113" s="360">
        <f>F114</f>
        <v>6845</v>
      </c>
      <c r="G113" s="361">
        <f t="shared" si="4"/>
        <v>0.9778571428571429</v>
      </c>
    </row>
    <row r="114" spans="1:7" s="734" customFormat="1" ht="21" customHeight="1">
      <c r="A114" s="1169"/>
      <c r="B114" s="1169"/>
      <c r="C114" s="369" t="s">
        <v>1011</v>
      </c>
      <c r="D114" s="1152"/>
      <c r="E114" s="1152">
        <v>7000</v>
      </c>
      <c r="F114" s="1152">
        <v>6845</v>
      </c>
      <c r="G114" s="1153">
        <f t="shared" si="4"/>
        <v>0.9778571428571429</v>
      </c>
    </row>
    <row r="115" spans="1:7" s="734" customFormat="1" ht="20.25" customHeight="1">
      <c r="A115" s="1204">
        <v>754</v>
      </c>
      <c r="B115" s="1204"/>
      <c r="C115" s="1204" t="s">
        <v>344</v>
      </c>
      <c r="D115" s="486">
        <f aca="true" t="shared" si="6" ref="D115:F116">D116</f>
        <v>133000</v>
      </c>
      <c r="E115" s="486">
        <f t="shared" si="6"/>
        <v>283778</v>
      </c>
      <c r="F115" s="486">
        <f t="shared" si="6"/>
        <v>283778</v>
      </c>
      <c r="G115" s="487">
        <f t="shared" si="4"/>
        <v>1</v>
      </c>
    </row>
    <row r="116" spans="1:7" s="734" customFormat="1" ht="19.5" customHeight="1">
      <c r="A116" s="1139"/>
      <c r="B116" s="663">
        <v>75411</v>
      </c>
      <c r="C116" s="340" t="s">
        <v>564</v>
      </c>
      <c r="D116" s="342">
        <f t="shared" si="6"/>
        <v>133000</v>
      </c>
      <c r="E116" s="342">
        <f t="shared" si="6"/>
        <v>283778</v>
      </c>
      <c r="F116" s="342">
        <f t="shared" si="6"/>
        <v>283778</v>
      </c>
      <c r="G116" s="343">
        <f t="shared" si="4"/>
        <v>1</v>
      </c>
    </row>
    <row r="117" spans="1:7" s="734" customFormat="1" ht="21" customHeight="1">
      <c r="A117" s="1169"/>
      <c r="B117" s="1169"/>
      <c r="C117" s="369" t="s">
        <v>1012</v>
      </c>
      <c r="D117" s="1152">
        <f>90000+43000</f>
        <v>133000</v>
      </c>
      <c r="E117" s="1152">
        <v>283778</v>
      </c>
      <c r="F117" s="1152">
        <v>283778</v>
      </c>
      <c r="G117" s="1153">
        <f t="shared" si="4"/>
        <v>1</v>
      </c>
    </row>
    <row r="118" ht="12.75"/>
    <row r="119" ht="12.75"/>
    <row r="120" ht="25.5" customHeight="1">
      <c r="F120" s="1980" t="s">
        <v>449</v>
      </c>
    </row>
    <row r="121" ht="25.5" customHeight="1">
      <c r="F121" s="1980" t="s">
        <v>450</v>
      </c>
    </row>
    <row r="122" ht="25.5" customHeight="1">
      <c r="F122" s="1980" t="s">
        <v>451</v>
      </c>
    </row>
    <row r="123" ht="25.5" customHeight="1"/>
    <row r="124" ht="12.75"/>
    <row r="125" ht="12.75"/>
    <row r="126" ht="12.75"/>
    <row r="127" ht="25.5" customHeight="1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0.5" customHeight="1"/>
    <row r="139" ht="10.5" customHeight="1"/>
    <row r="140" ht="12.75"/>
    <row r="141" ht="12.75"/>
    <row r="142" ht="12.75"/>
    <row r="143" ht="12.75"/>
    <row r="144" ht="14.25" customHeight="1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</sheetData>
  <printOptions horizontalCentered="1"/>
  <pageMargins left="0.5905511811023623" right="0.5905511811023623" top="0.6692913385826772" bottom="0.6692913385826772" header="0.5118110236220472" footer="0.5118110236220472"/>
  <pageSetup firstPageNumber="50" useFirstPageNumber="1" horizontalDpi="300" verticalDpi="300" orientation="landscape" paperSize="9" scale="9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0"/>
  <sheetViews>
    <sheetView zoomScale="75" zoomScaleNormal="75" workbookViewId="0" topLeftCell="A1">
      <selection activeCell="J68" sqref="J68:J70"/>
    </sheetView>
  </sheetViews>
  <sheetFormatPr defaultColWidth="9.00390625" defaultRowHeight="12.75"/>
  <cols>
    <col min="1" max="1" width="4.875" style="0" customWidth="1"/>
    <col min="2" max="2" width="6.625" style="1232" customWidth="1"/>
    <col min="3" max="3" width="36.125" style="0" customWidth="1"/>
    <col min="4" max="4" width="12.25390625" style="901" customWidth="1"/>
    <col min="5" max="5" width="12.625" style="901" customWidth="1"/>
    <col min="6" max="6" width="11.75390625" style="901" customWidth="1"/>
    <col min="7" max="7" width="10.875" style="901" customWidth="1"/>
    <col min="8" max="8" width="9.625" style="1233" customWidth="1"/>
    <col min="9" max="9" width="12.375" style="901" customWidth="1"/>
    <col min="10" max="10" width="12.75390625" style="901" customWidth="1"/>
    <col min="11" max="11" width="13.375" style="901" customWidth="1"/>
    <col min="12" max="12" width="13.625" style="901" customWidth="1"/>
    <col min="13" max="13" width="9.00390625" style="0" customWidth="1"/>
    <col min="14" max="14" width="7.625" style="0" customWidth="1"/>
  </cols>
  <sheetData>
    <row r="1" ht="12" customHeight="1">
      <c r="J1" s="678" t="s">
        <v>1013</v>
      </c>
    </row>
    <row r="2" ht="12" customHeight="1">
      <c r="J2" s="3" t="s">
        <v>977</v>
      </c>
    </row>
    <row r="3" spans="4:10" ht="13.5" customHeight="1">
      <c r="D3" s="1234"/>
      <c r="E3" s="1234"/>
      <c r="F3" s="1235"/>
      <c r="G3" s="1235"/>
      <c r="H3" s="1236"/>
      <c r="I3" s="1235"/>
      <c r="J3" s="11" t="s">
        <v>292</v>
      </c>
    </row>
    <row r="4" spans="2:10" s="903" customFormat="1" ht="13.5" customHeight="1">
      <c r="B4" s="1237"/>
      <c r="C4" s="1238" t="s">
        <v>1014</v>
      </c>
      <c r="D4" s="1239"/>
      <c r="E4" s="1240"/>
      <c r="F4" s="1239"/>
      <c r="G4" s="1239"/>
      <c r="H4" s="1241"/>
      <c r="I4" s="1239"/>
      <c r="J4" s="11" t="s">
        <v>978</v>
      </c>
    </row>
    <row r="5" spans="3:5" ht="8.25" customHeight="1">
      <c r="C5" s="874"/>
      <c r="E5" s="1242"/>
    </row>
    <row r="6" ht="12.75" customHeight="1" thickBot="1">
      <c r="M6" s="1243" t="s">
        <v>1015</v>
      </c>
    </row>
    <row r="7" spans="1:13" s="1251" customFormat="1" ht="15.75" customHeight="1" thickBot="1" thickTop="1">
      <c r="A7" s="1244"/>
      <c r="B7" s="1244"/>
      <c r="C7" s="1245"/>
      <c r="D7" s="1246"/>
      <c r="E7" s="1246"/>
      <c r="F7" s="1246" t="s">
        <v>1016</v>
      </c>
      <c r="G7" s="1247"/>
      <c r="H7" s="1248"/>
      <c r="I7" s="1246"/>
      <c r="J7" s="1246" t="s">
        <v>1017</v>
      </c>
      <c r="K7" s="1249"/>
      <c r="L7" s="1249"/>
      <c r="M7" s="1250"/>
    </row>
    <row r="8" spans="1:13" s="1257" customFormat="1" ht="27" customHeight="1" thickBot="1" thickTop="1">
      <c r="A8" s="1252" t="s">
        <v>1018</v>
      </c>
      <c r="B8" s="1252" t="s">
        <v>607</v>
      </c>
      <c r="C8" s="1253" t="s">
        <v>603</v>
      </c>
      <c r="D8" s="1254" t="s">
        <v>1019</v>
      </c>
      <c r="E8" s="1254" t="s">
        <v>1020</v>
      </c>
      <c r="F8" s="1963" t="s">
        <v>848</v>
      </c>
      <c r="G8" s="1964"/>
      <c r="H8" s="1255" t="s">
        <v>1021</v>
      </c>
      <c r="I8" s="1254" t="s">
        <v>1019</v>
      </c>
      <c r="J8" s="1254" t="s">
        <v>1020</v>
      </c>
      <c r="K8" s="1963" t="s">
        <v>848</v>
      </c>
      <c r="L8" s="1964"/>
      <c r="M8" s="1256" t="s">
        <v>1021</v>
      </c>
    </row>
    <row r="9" spans="1:13" s="1265" customFormat="1" ht="25.5" customHeight="1" thickBot="1" thickTop="1">
      <c r="A9" s="1258"/>
      <c r="B9" s="1258"/>
      <c r="C9" s="1259"/>
      <c r="D9" s="1260" t="s">
        <v>1022</v>
      </c>
      <c r="E9" s="1260" t="s">
        <v>1023</v>
      </c>
      <c r="F9" s="1261"/>
      <c r="G9" s="1262" t="s">
        <v>1024</v>
      </c>
      <c r="H9" s="1263" t="s">
        <v>1025</v>
      </c>
      <c r="I9" s="1260" t="s">
        <v>1022</v>
      </c>
      <c r="J9" s="1260" t="s">
        <v>1023</v>
      </c>
      <c r="K9" s="1261"/>
      <c r="L9" s="1262" t="s">
        <v>1026</v>
      </c>
      <c r="M9" s="1264" t="s">
        <v>1027</v>
      </c>
    </row>
    <row r="10" spans="1:13" ht="13.5" customHeight="1" thickBot="1" thickTop="1">
      <c r="A10" s="1266">
        <v>1</v>
      </c>
      <c r="B10" s="1266">
        <v>2</v>
      </c>
      <c r="C10" s="1267">
        <v>3</v>
      </c>
      <c r="D10" s="1268">
        <v>4</v>
      </c>
      <c r="E10" s="1268">
        <v>5</v>
      </c>
      <c r="F10" s="1268">
        <v>6</v>
      </c>
      <c r="G10" s="1268">
        <v>7</v>
      </c>
      <c r="H10" s="1269">
        <v>8</v>
      </c>
      <c r="I10" s="1268">
        <v>9</v>
      </c>
      <c r="J10" s="1268">
        <v>10</v>
      </c>
      <c r="K10" s="1268">
        <v>11</v>
      </c>
      <c r="L10" s="1268">
        <v>12</v>
      </c>
      <c r="M10" s="1267">
        <v>13</v>
      </c>
    </row>
    <row r="11" spans="1:13" s="694" customFormat="1" ht="25.5" customHeight="1" thickTop="1">
      <c r="A11" s="1270"/>
      <c r="B11" s="1270"/>
      <c r="C11" s="1271" t="s">
        <v>1028</v>
      </c>
      <c r="D11" s="1272">
        <f>SUM(D12+D58+D62)</f>
        <v>101194312</v>
      </c>
      <c r="E11" s="1272">
        <f>SUM(E12+E58+E62)</f>
        <v>103950342</v>
      </c>
      <c r="F11" s="1272">
        <f>SUM(F12+F58+F62)</f>
        <v>95113135</v>
      </c>
      <c r="G11" s="1272">
        <f>SUM(G12+G58+G62)</f>
        <v>9681485</v>
      </c>
      <c r="H11" s="1273">
        <f>F11/E11</f>
        <v>0.9149862633448574</v>
      </c>
      <c r="I11" s="1272">
        <f>SUM(I12+I58+I62)</f>
        <v>100700461</v>
      </c>
      <c r="J11" s="1272">
        <f>SUM(J12+J58+J62)</f>
        <v>103701324</v>
      </c>
      <c r="K11" s="1272">
        <f>SUM(K12+K58+K62)</f>
        <v>95466719</v>
      </c>
      <c r="L11" s="1272">
        <f>SUM(L12+L58+L62)</f>
        <v>5873559</v>
      </c>
      <c r="M11" s="1273">
        <f>K11/J11</f>
        <v>0.9205930581947054</v>
      </c>
    </row>
    <row r="12" spans="1:13" ht="21" customHeight="1" thickBot="1">
      <c r="A12" s="1274"/>
      <c r="B12" s="1274"/>
      <c r="C12" s="1275" t="s">
        <v>1029</v>
      </c>
      <c r="D12" s="54">
        <f>SUM(D13+D23+D36)</f>
        <v>100546692</v>
      </c>
      <c r="E12" s="54">
        <f>SUM(E13+E23+E36)</f>
        <v>103280485</v>
      </c>
      <c r="F12" s="54">
        <f>SUM(F13+F23+F36)</f>
        <v>94568946</v>
      </c>
      <c r="G12" s="54">
        <f>SUM(G13+G23+G36)</f>
        <v>9681485</v>
      </c>
      <c r="H12" s="55">
        <f>F12/E12</f>
        <v>0.9156516451292808</v>
      </c>
      <c r="I12" s="54">
        <f>SUM(I13+I23+I36)</f>
        <v>100050013</v>
      </c>
      <c r="J12" s="54">
        <f>SUM(J13+J23+J36)</f>
        <v>103028639</v>
      </c>
      <c r="K12" s="54">
        <f>SUM(K13+K23+K36)</f>
        <v>94871653</v>
      </c>
      <c r="L12" s="54">
        <f>SUM(L13+L23+L36)</f>
        <v>5873559</v>
      </c>
      <c r="M12" s="55">
        <f>K12/J12</f>
        <v>0.9208279748313476</v>
      </c>
    </row>
    <row r="13" spans="1:13" ht="21" customHeight="1" thickTop="1">
      <c r="A13" s="1276"/>
      <c r="B13" s="1276"/>
      <c r="C13" s="1277" t="s">
        <v>1030</v>
      </c>
      <c r="D13" s="1278">
        <f>SUM(D14+D15+D19)</f>
        <v>83397340</v>
      </c>
      <c r="E13" s="1278">
        <f>SUM(E14+E15+E19)</f>
        <v>84408500</v>
      </c>
      <c r="F13" s="1278">
        <f>SUM(F14+F15+F19)</f>
        <v>77757718</v>
      </c>
      <c r="G13" s="1278">
        <f>SUM(G14+G15+G19)</f>
        <v>9512595</v>
      </c>
      <c r="H13" s="1279">
        <f>F13/E13</f>
        <v>0.9212072006966123</v>
      </c>
      <c r="I13" s="1278">
        <f>SUM(I14+I15+I19)</f>
        <v>82904290</v>
      </c>
      <c r="J13" s="1278">
        <f>SUM(J14+J15+J19)</f>
        <v>83971534</v>
      </c>
      <c r="K13" s="1278">
        <f>SUM(K14+K15+K19)</f>
        <v>78096225</v>
      </c>
      <c r="L13" s="1278">
        <f>SUM(L14+L15+L19)</f>
        <v>5039299</v>
      </c>
      <c r="M13" s="1279">
        <f>K13/J13</f>
        <v>0.9300321344611854</v>
      </c>
    </row>
    <row r="14" spans="1:13" s="1284" customFormat="1" ht="18" customHeight="1">
      <c r="A14" s="1280">
        <v>630</v>
      </c>
      <c r="B14" s="1280">
        <v>63001</v>
      </c>
      <c r="C14" s="1281" t="s">
        <v>1031</v>
      </c>
      <c r="D14" s="1282">
        <v>347640</v>
      </c>
      <c r="E14" s="1282">
        <v>376100</v>
      </c>
      <c r="F14" s="1282">
        <v>307490</v>
      </c>
      <c r="G14" s="1282">
        <v>150000</v>
      </c>
      <c r="H14" s="1283">
        <f>F14/E14</f>
        <v>0.8175751130018613</v>
      </c>
      <c r="I14" s="1282">
        <v>318900</v>
      </c>
      <c r="J14" s="1282">
        <v>318900</v>
      </c>
      <c r="K14" s="1282">
        <v>305739</v>
      </c>
      <c r="L14" s="1282">
        <v>150300</v>
      </c>
      <c r="M14" s="1283">
        <f>K14/J14</f>
        <v>0.9587300094073378</v>
      </c>
    </row>
    <row r="15" spans="1:13" s="1290" customFormat="1" ht="18" customHeight="1">
      <c r="A15" s="1285">
        <v>700</v>
      </c>
      <c r="B15" s="1285">
        <v>70001</v>
      </c>
      <c r="C15" s="1286" t="s">
        <v>1032</v>
      </c>
      <c r="D15" s="1287">
        <v>71419700</v>
      </c>
      <c r="E15" s="1288">
        <v>71440900</v>
      </c>
      <c r="F15" s="1288">
        <v>68258175</v>
      </c>
      <c r="G15" s="1288">
        <f>SUM(G17:G18)</f>
        <v>4765591</v>
      </c>
      <c r="H15" s="1289">
        <f>F15/E15</f>
        <v>0.955449539409498</v>
      </c>
      <c r="I15" s="1288">
        <v>70910000</v>
      </c>
      <c r="J15" s="1288">
        <v>71062983</v>
      </c>
      <c r="K15" s="1288">
        <v>68155631</v>
      </c>
      <c r="L15" s="1288">
        <v>2843000</v>
      </c>
      <c r="M15" s="1289">
        <f>K15/J15</f>
        <v>0.9590876729731427</v>
      </c>
    </row>
    <row r="16" spans="1:13" s="1290" customFormat="1" ht="11.25" customHeight="1">
      <c r="A16" s="1291"/>
      <c r="B16" s="1285"/>
      <c r="C16" s="1286" t="s">
        <v>1033</v>
      </c>
      <c r="D16" s="1287"/>
      <c r="E16" s="1288"/>
      <c r="F16" s="1288"/>
      <c r="G16" s="1288"/>
      <c r="H16" s="1289"/>
      <c r="I16" s="1288"/>
      <c r="J16" s="1288"/>
      <c r="K16" s="1288"/>
      <c r="L16" s="1288"/>
      <c r="M16" s="1289"/>
    </row>
    <row r="17" spans="1:13" s="1290" customFormat="1" ht="13.5" customHeight="1">
      <c r="A17" s="1291"/>
      <c r="B17" s="1285"/>
      <c r="C17" s="1286" t="s">
        <v>1034</v>
      </c>
      <c r="D17" s="1287">
        <v>4900000</v>
      </c>
      <c r="E17" s="1288">
        <v>4900000</v>
      </c>
      <c r="F17" s="1288">
        <v>4500000</v>
      </c>
      <c r="G17" s="1288">
        <v>4500000</v>
      </c>
      <c r="H17" s="1289">
        <f>F17/E17</f>
        <v>0.9183673469387755</v>
      </c>
      <c r="I17" s="1288"/>
      <c r="J17" s="1288"/>
      <c r="K17" s="1288"/>
      <c r="L17" s="1288"/>
      <c r="M17" s="1289"/>
    </row>
    <row r="18" spans="1:13" s="1290" customFormat="1" ht="13.5" customHeight="1">
      <c r="A18" s="1292"/>
      <c r="B18" s="1293"/>
      <c r="C18" s="1294" t="s">
        <v>1035</v>
      </c>
      <c r="D18" s="1295">
        <v>300000</v>
      </c>
      <c r="E18" s="1296">
        <v>300000</v>
      </c>
      <c r="F18" s="1296">
        <v>265591</v>
      </c>
      <c r="G18" s="1296">
        <v>265591</v>
      </c>
      <c r="H18" s="1297">
        <f>F18/E18</f>
        <v>0.8853033333333333</v>
      </c>
      <c r="I18" s="1296"/>
      <c r="J18" s="1296"/>
      <c r="K18" s="1296"/>
      <c r="L18" s="1296"/>
      <c r="M18" s="1297"/>
    </row>
    <row r="19" spans="1:13" s="1290" customFormat="1" ht="18" customHeight="1">
      <c r="A19" s="1285">
        <v>926</v>
      </c>
      <c r="B19" s="1285">
        <v>92604</v>
      </c>
      <c r="C19" s="1286" t="s">
        <v>1036</v>
      </c>
      <c r="D19" s="1298">
        <v>11630000</v>
      </c>
      <c r="E19" s="1288">
        <v>12591500</v>
      </c>
      <c r="F19" s="1288">
        <v>9192053</v>
      </c>
      <c r="G19" s="1288">
        <f>SUM(G21:G22)</f>
        <v>4597004</v>
      </c>
      <c r="H19" s="1289">
        <f>F19/E19</f>
        <v>0.7300204900131041</v>
      </c>
      <c r="I19" s="1288">
        <v>11675390</v>
      </c>
      <c r="J19" s="1288">
        <v>12589651</v>
      </c>
      <c r="K19" s="1288">
        <f>9634855</f>
        <v>9634855</v>
      </c>
      <c r="L19" s="1288">
        <v>2045999</v>
      </c>
      <c r="M19" s="1289">
        <f>K19/J19</f>
        <v>0.7652996099733027</v>
      </c>
    </row>
    <row r="20" spans="1:13" s="1290" customFormat="1" ht="10.5" customHeight="1">
      <c r="A20" s="1291"/>
      <c r="B20" s="1285"/>
      <c r="C20" s="1286" t="s">
        <v>1033</v>
      </c>
      <c r="D20" s="1299"/>
      <c r="E20" s="1287"/>
      <c r="F20" s="1288"/>
      <c r="G20" s="1288"/>
      <c r="H20" s="1289"/>
      <c r="I20" s="1287"/>
      <c r="J20" s="1288"/>
      <c r="K20" s="1288"/>
      <c r="L20" s="1288"/>
      <c r="M20" s="1289"/>
    </row>
    <row r="21" spans="1:13" s="1290" customFormat="1" ht="13.5" customHeight="1">
      <c r="A21" s="1291"/>
      <c r="B21" s="1285"/>
      <c r="C21" s="1286" t="s">
        <v>1034</v>
      </c>
      <c r="D21" s="1299">
        <v>1110000</v>
      </c>
      <c r="E21" s="1287">
        <v>1110000</v>
      </c>
      <c r="F21" s="1288">
        <v>1017004</v>
      </c>
      <c r="G21" s="1288">
        <v>1017004</v>
      </c>
      <c r="H21" s="1289">
        <f aca="true" t="shared" si="0" ref="H21:H43">F21/E21</f>
        <v>0.9162198198198198</v>
      </c>
      <c r="I21" s="1287"/>
      <c r="J21" s="1288"/>
      <c r="K21" s="1288"/>
      <c r="L21" s="1288"/>
      <c r="M21" s="1289"/>
    </row>
    <row r="22" spans="1:13" s="1290" customFormat="1" ht="13.5" customHeight="1">
      <c r="A22" s="1292"/>
      <c r="B22" s="1293"/>
      <c r="C22" s="1294" t="s">
        <v>1035</v>
      </c>
      <c r="D22" s="1300">
        <v>6530000</v>
      </c>
      <c r="E22" s="1295">
        <v>6530000</v>
      </c>
      <c r="F22" s="1296">
        <f>3580000</f>
        <v>3580000</v>
      </c>
      <c r="G22" s="1296">
        <f>3580000</f>
        <v>3580000</v>
      </c>
      <c r="H22" s="1297">
        <f t="shared" si="0"/>
        <v>0.5482388973966309</v>
      </c>
      <c r="I22" s="1295"/>
      <c r="J22" s="1296"/>
      <c r="K22" s="1296"/>
      <c r="L22" s="1296"/>
      <c r="M22" s="1297"/>
    </row>
    <row r="23" spans="1:13" ht="21.75" customHeight="1">
      <c r="A23" s="668"/>
      <c r="B23" s="1301"/>
      <c r="C23" s="1302" t="s">
        <v>1037</v>
      </c>
      <c r="D23" s="1303">
        <f>D24+D34</f>
        <v>2964910</v>
      </c>
      <c r="E23" s="1303">
        <f>E24+E34</f>
        <v>3089527</v>
      </c>
      <c r="F23" s="1303">
        <f>F24+F34</f>
        <v>2443129</v>
      </c>
      <c r="G23" s="1303">
        <f>G24+G34</f>
        <v>168890</v>
      </c>
      <c r="H23" s="1279">
        <f t="shared" si="0"/>
        <v>0.7907776821500508</v>
      </c>
      <c r="I23" s="1303">
        <f>I24+I34</f>
        <v>2964910</v>
      </c>
      <c r="J23" s="1303">
        <f>J24+J34</f>
        <v>3089527</v>
      </c>
      <c r="K23" s="1303">
        <f>K24+K34</f>
        <v>2506984</v>
      </c>
      <c r="L23" s="1303">
        <f>L24+L34</f>
        <v>834260</v>
      </c>
      <c r="M23" s="1279">
        <f aca="true" t="shared" si="1" ref="M23:M43">K23/J23</f>
        <v>0.8114458944686355</v>
      </c>
    </row>
    <row r="24" spans="1:13" ht="19.5" customHeight="1">
      <c r="A24" s="1304">
        <v>801</v>
      </c>
      <c r="B24" s="1301"/>
      <c r="C24" s="1305" t="s">
        <v>386</v>
      </c>
      <c r="D24" s="1306">
        <f>SUM(D25:D33)</f>
        <v>2855110</v>
      </c>
      <c r="E24" s="1306">
        <f>SUM(E25:E33)</f>
        <v>2954600</v>
      </c>
      <c r="F24" s="1306">
        <f>SUM(F25:F33)</f>
        <v>2329869</v>
      </c>
      <c r="G24" s="1306">
        <f>SUM(G25:G33)</f>
        <v>135890</v>
      </c>
      <c r="H24" s="1307">
        <f t="shared" si="0"/>
        <v>0.7885564881879104</v>
      </c>
      <c r="I24" s="1306">
        <f>SUM(I25:I33)</f>
        <v>2855110</v>
      </c>
      <c r="J24" s="1306">
        <f>SUM(J25:J33)</f>
        <v>2954600</v>
      </c>
      <c r="K24" s="1306">
        <f>SUM(K25:K33)</f>
        <v>2380386</v>
      </c>
      <c r="L24" s="1306">
        <f>SUM(L25:L33)</f>
        <v>800985</v>
      </c>
      <c r="M24" s="1307">
        <f t="shared" si="1"/>
        <v>0.8056542340756786</v>
      </c>
    </row>
    <row r="25" spans="1:13" ht="25.5" customHeight="1">
      <c r="A25" s="1308"/>
      <c r="B25" s="1309" t="s">
        <v>1038</v>
      </c>
      <c r="C25" s="623" t="s">
        <v>1039</v>
      </c>
      <c r="D25" s="1310">
        <v>198650</v>
      </c>
      <c r="E25" s="1310">
        <v>198650</v>
      </c>
      <c r="F25" s="1162">
        <v>158502</v>
      </c>
      <c r="G25" s="1162">
        <v>16400</v>
      </c>
      <c r="H25" s="1311">
        <f t="shared" si="0"/>
        <v>0.7978957966272339</v>
      </c>
      <c r="I25" s="1162">
        <v>198650</v>
      </c>
      <c r="J25" s="1162">
        <v>198650</v>
      </c>
      <c r="K25" s="1162">
        <v>159261</v>
      </c>
      <c r="L25" s="1162">
        <v>48611</v>
      </c>
      <c r="M25" s="1311">
        <f t="shared" si="1"/>
        <v>0.8017165869619934</v>
      </c>
    </row>
    <row r="26" spans="1:13" ht="37.5" customHeight="1">
      <c r="A26" s="1308"/>
      <c r="B26" s="1312" t="s">
        <v>1038</v>
      </c>
      <c r="C26" s="1164" t="s">
        <v>1040</v>
      </c>
      <c r="D26" s="1165">
        <v>377500</v>
      </c>
      <c r="E26" s="1165">
        <v>418290</v>
      </c>
      <c r="F26" s="1165">
        <v>405031</v>
      </c>
      <c r="G26" s="1165">
        <v>15400</v>
      </c>
      <c r="H26" s="1311">
        <f t="shared" si="0"/>
        <v>0.968301895813909</v>
      </c>
      <c r="I26" s="1165">
        <v>377500</v>
      </c>
      <c r="J26" s="1165">
        <v>418290</v>
      </c>
      <c r="K26" s="1165">
        <v>405963</v>
      </c>
      <c r="L26" s="1165">
        <v>110273</v>
      </c>
      <c r="M26" s="1313">
        <f t="shared" si="1"/>
        <v>0.9705300150613211</v>
      </c>
    </row>
    <row r="27" spans="1:13" ht="25.5" customHeight="1">
      <c r="A27" s="1308"/>
      <c r="B27" s="1312" t="s">
        <v>1038</v>
      </c>
      <c r="C27" s="1164" t="s">
        <v>1041</v>
      </c>
      <c r="D27" s="1165">
        <v>285100</v>
      </c>
      <c r="E27" s="1165">
        <v>285100</v>
      </c>
      <c r="F27" s="1165">
        <v>249548</v>
      </c>
      <c r="G27" s="1165">
        <v>23500</v>
      </c>
      <c r="H27" s="1313">
        <f t="shared" si="0"/>
        <v>0.8752998947737636</v>
      </c>
      <c r="I27" s="1165">
        <v>285100</v>
      </c>
      <c r="J27" s="1165">
        <v>285100</v>
      </c>
      <c r="K27" s="1165">
        <v>263696</v>
      </c>
      <c r="L27" s="1165">
        <v>85513</v>
      </c>
      <c r="M27" s="1313">
        <f t="shared" si="1"/>
        <v>0.9249245878639074</v>
      </c>
    </row>
    <row r="28" spans="1:13" ht="25.5" customHeight="1">
      <c r="A28" s="1308"/>
      <c r="B28" s="1312" t="s">
        <v>1038</v>
      </c>
      <c r="C28" s="1314" t="s">
        <v>1042</v>
      </c>
      <c r="D28" s="1165">
        <v>47760</v>
      </c>
      <c r="E28" s="1165">
        <v>106460</v>
      </c>
      <c r="F28" s="1165">
        <v>66591</v>
      </c>
      <c r="G28" s="1165">
        <v>16500</v>
      </c>
      <c r="H28" s="1313">
        <f t="shared" si="0"/>
        <v>0.6255025361638173</v>
      </c>
      <c r="I28" s="1165">
        <v>47760</v>
      </c>
      <c r="J28" s="1165">
        <v>106460</v>
      </c>
      <c r="K28" s="1165">
        <v>91320</v>
      </c>
      <c r="L28" s="1165">
        <v>5664</v>
      </c>
      <c r="M28" s="1313">
        <f t="shared" si="1"/>
        <v>0.8577869622393387</v>
      </c>
    </row>
    <row r="29" spans="1:13" ht="26.25" customHeight="1">
      <c r="A29" s="1308"/>
      <c r="B29" s="1312" t="s">
        <v>1038</v>
      </c>
      <c r="C29" s="1314" t="s">
        <v>1043</v>
      </c>
      <c r="D29" s="1165">
        <v>195400</v>
      </c>
      <c r="E29" s="1165">
        <v>195400</v>
      </c>
      <c r="F29" s="1165">
        <v>128380</v>
      </c>
      <c r="G29" s="1165">
        <v>34400</v>
      </c>
      <c r="H29" s="1313">
        <f t="shared" si="0"/>
        <v>0.6570112589559877</v>
      </c>
      <c r="I29" s="1165">
        <v>195400</v>
      </c>
      <c r="J29" s="1165">
        <v>195400</v>
      </c>
      <c r="K29" s="1165">
        <v>132988</v>
      </c>
      <c r="L29" s="1165">
        <v>43638</v>
      </c>
      <c r="M29" s="1313">
        <f t="shared" si="1"/>
        <v>0.6805936540429888</v>
      </c>
    </row>
    <row r="30" spans="1:13" ht="25.5" customHeight="1">
      <c r="A30" s="1308"/>
      <c r="B30" s="1312" t="s">
        <v>1038</v>
      </c>
      <c r="C30" s="1314" t="s">
        <v>1044</v>
      </c>
      <c r="D30" s="1165">
        <v>123950</v>
      </c>
      <c r="E30" s="1165">
        <v>123950</v>
      </c>
      <c r="F30" s="1165">
        <v>88837</v>
      </c>
      <c r="G30" s="1165">
        <v>12400</v>
      </c>
      <c r="H30" s="1313">
        <f t="shared" si="0"/>
        <v>0.7167164179104477</v>
      </c>
      <c r="I30" s="1165">
        <v>123950</v>
      </c>
      <c r="J30" s="1165">
        <v>123950</v>
      </c>
      <c r="K30" s="1165">
        <v>73991</v>
      </c>
      <c r="L30" s="1165">
        <v>29903</v>
      </c>
      <c r="M30" s="1313">
        <f t="shared" si="1"/>
        <v>0.5969423154497782</v>
      </c>
    </row>
    <row r="31" spans="1:13" ht="25.5" customHeight="1">
      <c r="A31" s="1308"/>
      <c r="B31" s="1309" t="s">
        <v>1038</v>
      </c>
      <c r="C31" s="1315" t="s">
        <v>1045</v>
      </c>
      <c r="D31" s="1162">
        <v>1412280</v>
      </c>
      <c r="E31" s="1162">
        <v>1412280</v>
      </c>
      <c r="F31" s="1162">
        <v>1170493</v>
      </c>
      <c r="G31" s="1162">
        <v>2400</v>
      </c>
      <c r="H31" s="1202">
        <f t="shared" si="0"/>
        <v>0.8287966975387316</v>
      </c>
      <c r="I31" s="1162">
        <v>1412280</v>
      </c>
      <c r="J31" s="1162">
        <v>1412280</v>
      </c>
      <c r="K31" s="1162">
        <v>1156645</v>
      </c>
      <c r="L31" s="1162">
        <v>449000</v>
      </c>
      <c r="M31" s="1202">
        <f t="shared" si="1"/>
        <v>0.8189912765174044</v>
      </c>
    </row>
    <row r="32" spans="1:13" ht="25.5" customHeight="1">
      <c r="A32" s="1308"/>
      <c r="B32" s="1312" t="s">
        <v>1038</v>
      </c>
      <c r="C32" s="1315" t="s">
        <v>1046</v>
      </c>
      <c r="D32" s="1162">
        <v>65920</v>
      </c>
      <c r="E32" s="1162">
        <v>65920</v>
      </c>
      <c r="F32" s="1162">
        <v>25595</v>
      </c>
      <c r="G32" s="1162">
        <v>2700</v>
      </c>
      <c r="H32" s="1316">
        <f t="shared" si="0"/>
        <v>0.3882736650485437</v>
      </c>
      <c r="I32" s="1162">
        <v>65920</v>
      </c>
      <c r="J32" s="1162">
        <v>65920</v>
      </c>
      <c r="K32" s="1162">
        <v>59379</v>
      </c>
      <c r="L32" s="1183">
        <v>15255</v>
      </c>
      <c r="M32" s="1316">
        <f t="shared" si="1"/>
        <v>0.9007736650485437</v>
      </c>
    </row>
    <row r="33" spans="1:13" ht="25.5" customHeight="1">
      <c r="A33" s="668"/>
      <c r="B33" s="1317" t="s">
        <v>1038</v>
      </c>
      <c r="C33" s="1318" t="s">
        <v>1047</v>
      </c>
      <c r="D33" s="1319">
        <v>148550</v>
      </c>
      <c r="E33" s="1319">
        <v>148550</v>
      </c>
      <c r="F33" s="1319">
        <v>36892</v>
      </c>
      <c r="G33" s="1319">
        <v>12190</v>
      </c>
      <c r="H33" s="1320">
        <f t="shared" si="0"/>
        <v>0.24834735779198924</v>
      </c>
      <c r="I33" s="1319">
        <v>148550</v>
      </c>
      <c r="J33" s="1319">
        <v>148550</v>
      </c>
      <c r="K33" s="1319">
        <v>37143</v>
      </c>
      <c r="L33" s="1319">
        <v>13128</v>
      </c>
      <c r="M33" s="1320">
        <f t="shared" si="1"/>
        <v>0.2500370245708516</v>
      </c>
    </row>
    <row r="34" spans="1:13" ht="18.75" customHeight="1">
      <c r="A34" s="1321">
        <v>854</v>
      </c>
      <c r="B34" s="1322"/>
      <c r="C34" s="1323" t="s">
        <v>408</v>
      </c>
      <c r="D34" s="1188">
        <f>D35</f>
        <v>109800</v>
      </c>
      <c r="E34" s="1188">
        <f>E35</f>
        <v>134927</v>
      </c>
      <c r="F34" s="1188">
        <f>F35</f>
        <v>113260</v>
      </c>
      <c r="G34" s="1188">
        <f>G35</f>
        <v>33000</v>
      </c>
      <c r="H34" s="1324">
        <f t="shared" si="0"/>
        <v>0.8394168698629629</v>
      </c>
      <c r="I34" s="1188">
        <f>I35</f>
        <v>109800</v>
      </c>
      <c r="J34" s="1188">
        <f>J35</f>
        <v>134927</v>
      </c>
      <c r="K34" s="1188">
        <f>K35</f>
        <v>126598</v>
      </c>
      <c r="L34" s="1188">
        <f>L35</f>
        <v>33275</v>
      </c>
      <c r="M34" s="1320">
        <f t="shared" si="1"/>
        <v>0.9382703239529523</v>
      </c>
    </row>
    <row r="35" spans="1:13" ht="25.5" customHeight="1">
      <c r="A35" s="1308"/>
      <c r="B35" s="1325" t="s">
        <v>1048</v>
      </c>
      <c r="C35" s="1326" t="s">
        <v>1049</v>
      </c>
      <c r="D35" s="1190">
        <v>109800</v>
      </c>
      <c r="E35" s="1190">
        <v>134927</v>
      </c>
      <c r="F35" s="1190">
        <v>113260</v>
      </c>
      <c r="G35" s="1190">
        <v>33000</v>
      </c>
      <c r="H35" s="1197">
        <f t="shared" si="0"/>
        <v>0.8394168698629629</v>
      </c>
      <c r="I35" s="1190">
        <v>109800</v>
      </c>
      <c r="J35" s="1190">
        <v>134927</v>
      </c>
      <c r="K35" s="1190">
        <v>126598</v>
      </c>
      <c r="L35" s="1190">
        <v>33275</v>
      </c>
      <c r="M35" s="1197">
        <f t="shared" si="1"/>
        <v>0.9382703239529523</v>
      </c>
    </row>
    <row r="36" spans="1:13" ht="18.75" customHeight="1">
      <c r="A36" s="668"/>
      <c r="B36" s="1301"/>
      <c r="C36" s="1327" t="s">
        <v>1050</v>
      </c>
      <c r="D36" s="1328">
        <f>D37+D39+D52+D45</f>
        <v>14184442</v>
      </c>
      <c r="E36" s="1328">
        <f>E37+E39+E52+E45</f>
        <v>15782458</v>
      </c>
      <c r="F36" s="1328">
        <f>F39+F52+F37+F45</f>
        <v>14368099</v>
      </c>
      <c r="G36" s="1328"/>
      <c r="H36" s="1329">
        <f t="shared" si="0"/>
        <v>0.9103841112708806</v>
      </c>
      <c r="I36" s="1328">
        <f>I37+I39+I52+I45</f>
        <v>14180813</v>
      </c>
      <c r="J36" s="1328">
        <f>J37+J39+J52+J45</f>
        <v>15967578</v>
      </c>
      <c r="K36" s="1328">
        <f>K37+K39+K52+K45</f>
        <v>14268444</v>
      </c>
      <c r="L36" s="1328"/>
      <c r="M36" s="1329">
        <f t="shared" si="1"/>
        <v>0.8935884953873405</v>
      </c>
    </row>
    <row r="37" spans="1:13" s="1284" customFormat="1" ht="18.75" customHeight="1">
      <c r="A37" s="1330">
        <v>750</v>
      </c>
      <c r="B37" s="1331"/>
      <c r="C37" s="1332" t="s">
        <v>336</v>
      </c>
      <c r="D37" s="1333">
        <f>D38</f>
        <v>3560000</v>
      </c>
      <c r="E37" s="1333">
        <f>E38</f>
        <v>3721628</v>
      </c>
      <c r="F37" s="1333">
        <f>F38</f>
        <v>3261814</v>
      </c>
      <c r="G37" s="1333"/>
      <c r="H37" s="1297">
        <f t="shared" si="0"/>
        <v>0.8764481565594412</v>
      </c>
      <c r="I37" s="1333">
        <f>I38</f>
        <v>3556611</v>
      </c>
      <c r="J37" s="1333">
        <f>J38</f>
        <v>3801540</v>
      </c>
      <c r="K37" s="1333">
        <f>K38</f>
        <v>3103180</v>
      </c>
      <c r="L37" s="1333"/>
      <c r="M37" s="1334">
        <f t="shared" si="1"/>
        <v>0.8162955012968428</v>
      </c>
    </row>
    <row r="38" spans="1:13" s="1284" customFormat="1" ht="18.75" customHeight="1">
      <c r="A38" s="1335"/>
      <c r="B38" s="1280">
        <v>75023</v>
      </c>
      <c r="C38" s="1336" t="s">
        <v>337</v>
      </c>
      <c r="D38" s="1337">
        <v>3560000</v>
      </c>
      <c r="E38" s="1337">
        <v>3721628</v>
      </c>
      <c r="F38" s="1337">
        <v>3261814</v>
      </c>
      <c r="G38" s="1337"/>
      <c r="H38" s="1297">
        <f t="shared" si="0"/>
        <v>0.8764481565594412</v>
      </c>
      <c r="I38" s="1337">
        <v>3556611</v>
      </c>
      <c r="J38" s="1337">
        <v>3801540</v>
      </c>
      <c r="K38" s="1337">
        <v>3103180</v>
      </c>
      <c r="L38" s="1337"/>
      <c r="M38" s="1338">
        <f t="shared" si="1"/>
        <v>0.8162955012968428</v>
      </c>
    </row>
    <row r="39" spans="1:13" ht="19.5" customHeight="1">
      <c r="A39" s="1304">
        <v>801</v>
      </c>
      <c r="B39" s="1301"/>
      <c r="C39" s="1323" t="s">
        <v>386</v>
      </c>
      <c r="D39" s="1188">
        <f>SUM(D40:D44)</f>
        <v>974674</v>
      </c>
      <c r="E39" s="1188">
        <f>SUM(E40:E44)</f>
        <v>1506462</v>
      </c>
      <c r="F39" s="1188">
        <f>SUM(F40:F44)</f>
        <v>1431742</v>
      </c>
      <c r="G39" s="1188"/>
      <c r="H39" s="1189">
        <f t="shared" si="0"/>
        <v>0.9504003419933593</v>
      </c>
      <c r="I39" s="1188">
        <f>SUM(I40:I44)</f>
        <v>974674</v>
      </c>
      <c r="J39" s="1188">
        <f>SUM(J40:J44)</f>
        <v>1419162</v>
      </c>
      <c r="K39" s="1188">
        <f>SUM(K40:K44)</f>
        <v>1381162</v>
      </c>
      <c r="L39" s="1188"/>
      <c r="M39" s="1189">
        <f t="shared" si="1"/>
        <v>0.9732236347929271</v>
      </c>
    </row>
    <row r="40" spans="1:13" s="1290" customFormat="1" ht="18" customHeight="1">
      <c r="A40" s="1291"/>
      <c r="B40" s="1339">
        <v>80101</v>
      </c>
      <c r="C40" s="1340" t="s">
        <v>387</v>
      </c>
      <c r="D40" s="1341">
        <v>104068</v>
      </c>
      <c r="E40" s="1341">
        <v>348199</v>
      </c>
      <c r="F40" s="1341">
        <v>313472</v>
      </c>
      <c r="G40" s="1341"/>
      <c r="H40" s="1342">
        <f t="shared" si="0"/>
        <v>0.9002668014554895</v>
      </c>
      <c r="I40" s="1341">
        <v>104068</v>
      </c>
      <c r="J40" s="1341">
        <v>325172</v>
      </c>
      <c r="K40" s="1341">
        <v>314152</v>
      </c>
      <c r="L40" s="1341"/>
      <c r="M40" s="1342">
        <f t="shared" si="1"/>
        <v>0.966110243194371</v>
      </c>
    </row>
    <row r="41" spans="1:13" s="1290" customFormat="1" ht="18" customHeight="1">
      <c r="A41" s="1291"/>
      <c r="B41" s="1343">
        <v>80110</v>
      </c>
      <c r="C41" s="1344" t="s">
        <v>391</v>
      </c>
      <c r="D41" s="1345">
        <v>68320</v>
      </c>
      <c r="E41" s="1345">
        <v>170481</v>
      </c>
      <c r="F41" s="1345">
        <v>163316</v>
      </c>
      <c r="G41" s="1345"/>
      <c r="H41" s="1346">
        <f t="shared" si="0"/>
        <v>0.9579718561012665</v>
      </c>
      <c r="I41" s="1345">
        <v>68320</v>
      </c>
      <c r="J41" s="1345">
        <v>152698</v>
      </c>
      <c r="K41" s="1345">
        <v>150607</v>
      </c>
      <c r="L41" s="1288"/>
      <c r="M41" s="1347">
        <f t="shared" si="1"/>
        <v>0.9863063039463517</v>
      </c>
    </row>
    <row r="42" spans="1:13" s="1290" customFormat="1" ht="18" customHeight="1">
      <c r="A42" s="1291"/>
      <c r="B42" s="1348">
        <v>80120</v>
      </c>
      <c r="C42" s="1349" t="s">
        <v>511</v>
      </c>
      <c r="D42" s="1350">
        <v>47800</v>
      </c>
      <c r="E42" s="1350">
        <v>61705</v>
      </c>
      <c r="F42" s="1350">
        <v>41367</v>
      </c>
      <c r="G42" s="1350"/>
      <c r="H42" s="1346">
        <f t="shared" si="0"/>
        <v>0.670399481403452</v>
      </c>
      <c r="I42" s="1350">
        <v>47800</v>
      </c>
      <c r="J42" s="1350">
        <v>73291</v>
      </c>
      <c r="K42" s="1350">
        <v>57963</v>
      </c>
      <c r="L42" s="1351"/>
      <c r="M42" s="1347">
        <f t="shared" si="1"/>
        <v>0.7908610879917043</v>
      </c>
    </row>
    <row r="43" spans="1:13" s="1290" customFormat="1" ht="18" customHeight="1">
      <c r="A43" s="1291"/>
      <c r="B43" s="1348">
        <v>80130</v>
      </c>
      <c r="C43" s="1349" t="s">
        <v>514</v>
      </c>
      <c r="D43" s="1350">
        <v>237550</v>
      </c>
      <c r="E43" s="1350">
        <v>334340</v>
      </c>
      <c r="F43" s="1350">
        <v>321851</v>
      </c>
      <c r="G43" s="1350"/>
      <c r="H43" s="1346">
        <f t="shared" si="0"/>
        <v>0.9626458096548424</v>
      </c>
      <c r="I43" s="1350">
        <v>237550</v>
      </c>
      <c r="J43" s="1350">
        <v>320914</v>
      </c>
      <c r="K43" s="1350">
        <v>311354</v>
      </c>
      <c r="L43" s="1350"/>
      <c r="M43" s="1346">
        <f t="shared" si="1"/>
        <v>0.9702100874377559</v>
      </c>
    </row>
    <row r="44" spans="1:13" s="1290" customFormat="1" ht="38.25" customHeight="1">
      <c r="A44" s="1292"/>
      <c r="B44" s="1293">
        <v>80140</v>
      </c>
      <c r="C44" s="1352" t="s">
        <v>1051</v>
      </c>
      <c r="D44" s="1296">
        <v>516936</v>
      </c>
      <c r="E44" s="1296">
        <v>591737</v>
      </c>
      <c r="F44" s="1296">
        <v>591736</v>
      </c>
      <c r="G44" s="1296"/>
      <c r="H44" s="1297">
        <v>0.9999</v>
      </c>
      <c r="I44" s="1296">
        <v>516936</v>
      </c>
      <c r="J44" s="1296">
        <v>547087</v>
      </c>
      <c r="K44" s="1296">
        <v>547086</v>
      </c>
      <c r="L44" s="1296"/>
      <c r="M44" s="1297">
        <v>0.9999</v>
      </c>
    </row>
    <row r="45" spans="1:13" s="1284" customFormat="1" ht="18.75" customHeight="1">
      <c r="A45" s="1353">
        <v>853</v>
      </c>
      <c r="B45" s="1354"/>
      <c r="C45" s="1355" t="s">
        <v>395</v>
      </c>
      <c r="D45" s="1356">
        <f>SUM(D46:D51)</f>
        <v>507150</v>
      </c>
      <c r="E45" s="1356">
        <f>SUM(E46:E51)</f>
        <v>742878</v>
      </c>
      <c r="F45" s="1356">
        <f>SUM(F46:F51)</f>
        <v>690549</v>
      </c>
      <c r="G45" s="1356"/>
      <c r="H45" s="1334">
        <f aca="true" t="shared" si="2" ref="H45:H65">F45/E45</f>
        <v>0.9295590931485386</v>
      </c>
      <c r="I45" s="1356">
        <f>SUM(I46:I51)</f>
        <v>507400</v>
      </c>
      <c r="J45" s="1356">
        <f>SUM(J46:J51)</f>
        <v>788755</v>
      </c>
      <c r="K45" s="1356">
        <f>SUM(K46:K51)</f>
        <v>661632</v>
      </c>
      <c r="L45" s="1333"/>
      <c r="M45" s="1334">
        <f aca="true" t="shared" si="3" ref="M45:M55">K45/J45</f>
        <v>0.8388308156525157</v>
      </c>
    </row>
    <row r="46" spans="1:13" s="1284" customFormat="1" ht="18" customHeight="1">
      <c r="A46" s="1357"/>
      <c r="B46" s="1358">
        <v>85301</v>
      </c>
      <c r="C46" s="1359" t="s">
        <v>520</v>
      </c>
      <c r="D46" s="1360">
        <v>7150</v>
      </c>
      <c r="E46" s="1360">
        <v>196763</v>
      </c>
      <c r="F46" s="1360">
        <v>193028</v>
      </c>
      <c r="G46" s="1360"/>
      <c r="H46" s="1361">
        <f t="shared" si="2"/>
        <v>0.9810177726503458</v>
      </c>
      <c r="I46" s="1360">
        <v>7300</v>
      </c>
      <c r="J46" s="1360">
        <v>233257</v>
      </c>
      <c r="K46" s="1360">
        <v>141864</v>
      </c>
      <c r="L46" s="1362"/>
      <c r="M46" s="1361">
        <f t="shared" si="3"/>
        <v>0.6081875356366583</v>
      </c>
    </row>
    <row r="47" spans="1:13" s="1284" customFormat="1" ht="18" customHeight="1">
      <c r="A47" s="1357"/>
      <c r="B47" s="1363">
        <v>85302</v>
      </c>
      <c r="C47" s="1364" t="s">
        <v>523</v>
      </c>
      <c r="D47" s="1365">
        <v>12500</v>
      </c>
      <c r="E47" s="1365">
        <v>53003</v>
      </c>
      <c r="F47" s="1365">
        <v>49140</v>
      </c>
      <c r="G47" s="1365"/>
      <c r="H47" s="1361">
        <f t="shared" si="2"/>
        <v>0.9271173329811521</v>
      </c>
      <c r="I47" s="1365">
        <v>12600</v>
      </c>
      <c r="J47" s="1365">
        <v>57295</v>
      </c>
      <c r="K47" s="1365">
        <v>50819</v>
      </c>
      <c r="L47" s="1365"/>
      <c r="M47" s="1361">
        <f t="shared" si="3"/>
        <v>0.8869709398725892</v>
      </c>
    </row>
    <row r="48" spans="1:13" s="1284" customFormat="1" ht="18" customHeight="1">
      <c r="A48" s="1357"/>
      <c r="B48" s="1366">
        <v>85303</v>
      </c>
      <c r="C48" s="1367" t="s">
        <v>396</v>
      </c>
      <c r="D48" s="1362">
        <v>187500</v>
      </c>
      <c r="E48" s="1362">
        <v>191487</v>
      </c>
      <c r="F48" s="1362">
        <v>177774</v>
      </c>
      <c r="G48" s="1362"/>
      <c r="H48" s="1368">
        <f t="shared" si="2"/>
        <v>0.9283867834369958</v>
      </c>
      <c r="I48" s="1362">
        <v>187500</v>
      </c>
      <c r="J48" s="1362">
        <v>193095</v>
      </c>
      <c r="K48" s="1362">
        <v>178861</v>
      </c>
      <c r="L48" s="1362"/>
      <c r="M48" s="1368">
        <f t="shared" si="3"/>
        <v>0.9262849892539942</v>
      </c>
    </row>
    <row r="49" spans="1:13" s="1284" customFormat="1" ht="18" customHeight="1">
      <c r="A49" s="1357"/>
      <c r="B49" s="1363">
        <v>85305</v>
      </c>
      <c r="C49" s="1364" t="s">
        <v>398</v>
      </c>
      <c r="D49" s="1365">
        <v>300000</v>
      </c>
      <c r="E49" s="1365">
        <v>301020</v>
      </c>
      <c r="F49" s="1365">
        <v>270002</v>
      </c>
      <c r="G49" s="1365"/>
      <c r="H49" s="1361">
        <f t="shared" si="2"/>
        <v>0.8969570128230683</v>
      </c>
      <c r="I49" s="1365">
        <v>300000</v>
      </c>
      <c r="J49" s="1365">
        <v>301020</v>
      </c>
      <c r="K49" s="1365">
        <v>289597</v>
      </c>
      <c r="L49" s="1365"/>
      <c r="M49" s="1361">
        <f t="shared" si="3"/>
        <v>0.9620523553252276</v>
      </c>
    </row>
    <row r="50" spans="1:13" s="1284" customFormat="1" ht="18" customHeight="1">
      <c r="A50" s="1357"/>
      <c r="B50" s="1363">
        <v>85319</v>
      </c>
      <c r="C50" s="1364" t="s">
        <v>404</v>
      </c>
      <c r="D50" s="1365"/>
      <c r="E50" s="1365">
        <v>284</v>
      </c>
      <c r="F50" s="1365">
        <v>284</v>
      </c>
      <c r="G50" s="1365"/>
      <c r="H50" s="1361">
        <f t="shared" si="2"/>
        <v>1</v>
      </c>
      <c r="I50" s="1365"/>
      <c r="J50" s="1365">
        <v>284</v>
      </c>
      <c r="K50" s="1365">
        <v>284</v>
      </c>
      <c r="L50" s="1365"/>
      <c r="M50" s="1361">
        <f t="shared" si="3"/>
        <v>1</v>
      </c>
    </row>
    <row r="51" spans="1:13" s="1284" customFormat="1" ht="18" customHeight="1">
      <c r="A51" s="1357"/>
      <c r="B51" s="1366">
        <v>85326</v>
      </c>
      <c r="C51" s="1367" t="s">
        <v>527</v>
      </c>
      <c r="D51" s="1362"/>
      <c r="E51" s="1362">
        <v>321</v>
      </c>
      <c r="F51" s="1362">
        <v>321</v>
      </c>
      <c r="G51" s="1362"/>
      <c r="H51" s="1368">
        <f t="shared" si="2"/>
        <v>1</v>
      </c>
      <c r="I51" s="1362"/>
      <c r="J51" s="1362">
        <v>3804</v>
      </c>
      <c r="K51" s="1362">
        <v>207</v>
      </c>
      <c r="L51" s="1362"/>
      <c r="M51" s="1361">
        <f t="shared" si="3"/>
        <v>0.05441640378548896</v>
      </c>
    </row>
    <row r="52" spans="1:13" s="1284" customFormat="1" ht="18.75" customHeight="1">
      <c r="A52" s="1353">
        <v>854</v>
      </c>
      <c r="B52" s="1354"/>
      <c r="C52" s="1355" t="s">
        <v>408</v>
      </c>
      <c r="D52" s="1356">
        <f>SUM(D53:D57)</f>
        <v>9142618</v>
      </c>
      <c r="E52" s="1356">
        <f>SUM(E53:E57)</f>
        <v>9811490</v>
      </c>
      <c r="F52" s="1356">
        <f>SUM(F53:F57)</f>
        <v>8983994</v>
      </c>
      <c r="G52" s="1356"/>
      <c r="H52" s="1369">
        <f t="shared" si="2"/>
        <v>0.9156605163945537</v>
      </c>
      <c r="I52" s="1356">
        <f>SUM(I53:I57)</f>
        <v>9142128</v>
      </c>
      <c r="J52" s="1356">
        <f>SUM(J53:J57)</f>
        <v>9958121</v>
      </c>
      <c r="K52" s="1356">
        <f>SUM(K53:K57)</f>
        <v>9122470</v>
      </c>
      <c r="L52" s="1356"/>
      <c r="M52" s="1369">
        <f t="shared" si="3"/>
        <v>0.9160834659470396</v>
      </c>
    </row>
    <row r="53" spans="1:13" s="1284" customFormat="1" ht="18" customHeight="1">
      <c r="A53" s="1357"/>
      <c r="B53" s="1366">
        <v>85403</v>
      </c>
      <c r="C53" s="1344" t="s">
        <v>529</v>
      </c>
      <c r="D53" s="1362">
        <v>88300</v>
      </c>
      <c r="E53" s="1362">
        <v>323050</v>
      </c>
      <c r="F53" s="1362">
        <v>304278</v>
      </c>
      <c r="G53" s="1362"/>
      <c r="H53" s="1368">
        <f t="shared" si="2"/>
        <v>0.9418913480885311</v>
      </c>
      <c r="I53" s="1362">
        <v>88300</v>
      </c>
      <c r="J53" s="1362">
        <v>325833</v>
      </c>
      <c r="K53" s="1362">
        <v>303437</v>
      </c>
      <c r="L53" s="1362"/>
      <c r="M53" s="1368">
        <f t="shared" si="3"/>
        <v>0.9312654028290566</v>
      </c>
    </row>
    <row r="54" spans="1:13" s="1284" customFormat="1" ht="18" customHeight="1">
      <c r="A54" s="1357"/>
      <c r="B54" s="1363">
        <v>85404</v>
      </c>
      <c r="C54" s="1349" t="s">
        <v>919</v>
      </c>
      <c r="D54" s="1365">
        <v>3289830</v>
      </c>
      <c r="E54" s="1365">
        <v>3446984</v>
      </c>
      <c r="F54" s="1365">
        <v>3446655</v>
      </c>
      <c r="G54" s="1365"/>
      <c r="H54" s="1361">
        <f t="shared" si="2"/>
        <v>0.9999045542422013</v>
      </c>
      <c r="I54" s="1365">
        <v>3289830</v>
      </c>
      <c r="J54" s="1365">
        <v>3450537</v>
      </c>
      <c r="K54" s="1365">
        <v>3428493</v>
      </c>
      <c r="L54" s="1365"/>
      <c r="M54" s="1361">
        <f t="shared" si="3"/>
        <v>0.9936114291775454</v>
      </c>
    </row>
    <row r="55" spans="1:13" s="1284" customFormat="1" ht="24.75" customHeight="1">
      <c r="A55" s="1357"/>
      <c r="B55" s="1363">
        <v>85406</v>
      </c>
      <c r="C55" s="1349" t="s">
        <v>1052</v>
      </c>
      <c r="D55" s="1365"/>
      <c r="E55" s="1365">
        <v>4602</v>
      </c>
      <c r="F55" s="1365">
        <v>3231</v>
      </c>
      <c r="G55" s="1365"/>
      <c r="H55" s="1361">
        <f t="shared" si="2"/>
        <v>0.7020860495436767</v>
      </c>
      <c r="I55" s="1365"/>
      <c r="J55" s="1365">
        <v>4602</v>
      </c>
      <c r="K55" s="1365">
        <v>3230</v>
      </c>
      <c r="L55" s="1365"/>
      <c r="M55" s="1361">
        <f t="shared" si="3"/>
        <v>0.7018687527162103</v>
      </c>
    </row>
    <row r="56" spans="1:13" s="1284" customFormat="1" ht="18" customHeight="1">
      <c r="A56" s="1357"/>
      <c r="B56" s="1363">
        <v>85407</v>
      </c>
      <c r="C56" s="1364" t="s">
        <v>532</v>
      </c>
      <c r="D56" s="1365">
        <v>7700</v>
      </c>
      <c r="E56" s="1365">
        <v>35852</v>
      </c>
      <c r="F56" s="1365">
        <v>35849</v>
      </c>
      <c r="G56" s="1365"/>
      <c r="H56" s="1361">
        <f t="shared" si="2"/>
        <v>0.9999163226598238</v>
      </c>
      <c r="I56" s="1365">
        <v>7700</v>
      </c>
      <c r="J56" s="1365">
        <v>40415</v>
      </c>
      <c r="K56" s="1365">
        <v>40413</v>
      </c>
      <c r="L56" s="1365"/>
      <c r="M56" s="1361">
        <v>0.9999</v>
      </c>
    </row>
    <row r="57" spans="1:13" s="1284" customFormat="1" ht="18" customHeight="1">
      <c r="A57" s="1357"/>
      <c r="B57" s="1370">
        <v>85495</v>
      </c>
      <c r="C57" s="1371" t="s">
        <v>314</v>
      </c>
      <c r="D57" s="1372">
        <v>5756788</v>
      </c>
      <c r="E57" s="1372">
        <v>6001002</v>
      </c>
      <c r="F57" s="1372">
        <v>5193981</v>
      </c>
      <c r="G57" s="1372"/>
      <c r="H57" s="1373">
        <f t="shared" si="2"/>
        <v>0.8655189583339582</v>
      </c>
      <c r="I57" s="1372">
        <v>5756298</v>
      </c>
      <c r="J57" s="1372">
        <v>6136734</v>
      </c>
      <c r="K57" s="1372">
        <v>5346897</v>
      </c>
      <c r="L57" s="1372"/>
      <c r="M57" s="1373">
        <f aca="true" t="shared" si="4" ref="M57:M65">K57/J57</f>
        <v>0.871293590369079</v>
      </c>
    </row>
    <row r="58" spans="1:13" s="1284" customFormat="1" ht="27.75" customHeight="1" thickBot="1">
      <c r="A58" s="1357"/>
      <c r="B58" s="1374"/>
      <c r="C58" s="1375" t="s">
        <v>1053</v>
      </c>
      <c r="D58" s="1376">
        <f aca="true" t="shared" si="5" ref="D58:F60">D59</f>
        <v>2620</v>
      </c>
      <c r="E58" s="1376">
        <f t="shared" si="5"/>
        <v>2620</v>
      </c>
      <c r="F58" s="1376">
        <f t="shared" si="5"/>
        <v>1941</v>
      </c>
      <c r="G58" s="1376"/>
      <c r="H58" s="1377">
        <f t="shared" si="2"/>
        <v>0.7408396946564886</v>
      </c>
      <c r="I58" s="1376">
        <f aca="true" t="shared" si="6" ref="I58:K60">I59</f>
        <v>2620</v>
      </c>
      <c r="J58" s="1376">
        <f t="shared" si="6"/>
        <v>2620</v>
      </c>
      <c r="K58" s="1376">
        <f t="shared" si="6"/>
        <v>1581</v>
      </c>
      <c r="L58" s="1376"/>
      <c r="M58" s="1377">
        <f t="shared" si="4"/>
        <v>0.6034351145038168</v>
      </c>
    </row>
    <row r="59" spans="1:13" s="1284" customFormat="1" ht="16.5" customHeight="1" thickTop="1">
      <c r="A59" s="1378"/>
      <c r="B59" s="1379"/>
      <c r="C59" s="1380" t="s">
        <v>1050</v>
      </c>
      <c r="D59" s="1381">
        <f t="shared" si="5"/>
        <v>2620</v>
      </c>
      <c r="E59" s="1381">
        <f t="shared" si="5"/>
        <v>2620</v>
      </c>
      <c r="F59" s="1381">
        <f t="shared" si="5"/>
        <v>1941</v>
      </c>
      <c r="G59" s="1381"/>
      <c r="H59" s="1382">
        <f t="shared" si="2"/>
        <v>0.7408396946564886</v>
      </c>
      <c r="I59" s="1381">
        <f t="shared" si="6"/>
        <v>2620</v>
      </c>
      <c r="J59" s="1381">
        <f t="shared" si="6"/>
        <v>2620</v>
      </c>
      <c r="K59" s="1381">
        <f t="shared" si="6"/>
        <v>1581</v>
      </c>
      <c r="L59" s="1381"/>
      <c r="M59" s="1382">
        <f t="shared" si="4"/>
        <v>0.6034351145038168</v>
      </c>
    </row>
    <row r="60" spans="1:13" s="1385" customFormat="1" ht="16.5" customHeight="1">
      <c r="A60" s="1333">
        <v>801</v>
      </c>
      <c r="B60" s="1383"/>
      <c r="C60" s="1384" t="s">
        <v>386</v>
      </c>
      <c r="D60" s="1333">
        <f t="shared" si="5"/>
        <v>2620</v>
      </c>
      <c r="E60" s="1333">
        <f t="shared" si="5"/>
        <v>2620</v>
      </c>
      <c r="F60" s="1333">
        <f t="shared" si="5"/>
        <v>1941</v>
      </c>
      <c r="G60" s="1333"/>
      <c r="H60" s="1334">
        <f t="shared" si="2"/>
        <v>0.7408396946564886</v>
      </c>
      <c r="I60" s="1333">
        <f t="shared" si="6"/>
        <v>2620</v>
      </c>
      <c r="J60" s="1333">
        <f t="shared" si="6"/>
        <v>2620</v>
      </c>
      <c r="K60" s="1333">
        <f t="shared" si="6"/>
        <v>1581</v>
      </c>
      <c r="L60" s="1333"/>
      <c r="M60" s="1334">
        <f t="shared" si="4"/>
        <v>0.6034351145038168</v>
      </c>
    </row>
    <row r="61" spans="1:13" s="1389" customFormat="1" ht="16.5" customHeight="1">
      <c r="A61" s="1386"/>
      <c r="B61" s="1387">
        <v>80132</v>
      </c>
      <c r="C61" s="1388" t="s">
        <v>515</v>
      </c>
      <c r="D61" s="1282">
        <v>2620</v>
      </c>
      <c r="E61" s="1282">
        <v>2620</v>
      </c>
      <c r="F61" s="1282">
        <v>1941</v>
      </c>
      <c r="G61" s="1282"/>
      <c r="H61" s="1283">
        <f t="shared" si="2"/>
        <v>0.7408396946564886</v>
      </c>
      <c r="I61" s="1282">
        <v>2620</v>
      </c>
      <c r="J61" s="1282">
        <v>2620</v>
      </c>
      <c r="K61" s="1282">
        <v>1581</v>
      </c>
      <c r="L61" s="1282"/>
      <c r="M61" s="1283">
        <f t="shared" si="4"/>
        <v>0.6034351145038168</v>
      </c>
    </row>
    <row r="62" spans="1:13" s="1284" customFormat="1" ht="16.5" customHeight="1" thickBot="1">
      <c r="A62" s="1357"/>
      <c r="B62" s="1374"/>
      <c r="C62" s="1375" t="s">
        <v>1054</v>
      </c>
      <c r="D62" s="1376">
        <f>D63</f>
        <v>645000</v>
      </c>
      <c r="E62" s="1376">
        <f>E63</f>
        <v>667237</v>
      </c>
      <c r="F62" s="1376">
        <f>F63</f>
        <v>542248</v>
      </c>
      <c r="G62" s="1376"/>
      <c r="H62" s="1377">
        <f t="shared" si="2"/>
        <v>0.8126767550360666</v>
      </c>
      <c r="I62" s="1376">
        <f>I63</f>
        <v>647828</v>
      </c>
      <c r="J62" s="1376">
        <f>J63</f>
        <v>670065</v>
      </c>
      <c r="K62" s="1376">
        <f>K63</f>
        <v>593485</v>
      </c>
      <c r="L62" s="1376"/>
      <c r="M62" s="1377">
        <f t="shared" si="4"/>
        <v>0.885712580122824</v>
      </c>
    </row>
    <row r="63" spans="1:13" s="1284" customFormat="1" ht="16.5" customHeight="1" thickTop="1">
      <c r="A63" s="1378"/>
      <c r="B63" s="1390"/>
      <c r="C63" s="1380" t="s">
        <v>1050</v>
      </c>
      <c r="D63" s="1381">
        <f>D65+D64</f>
        <v>645000</v>
      </c>
      <c r="E63" s="1381">
        <f>E65+E64</f>
        <v>667237</v>
      </c>
      <c r="F63" s="1381">
        <f>F65+F64</f>
        <v>542248</v>
      </c>
      <c r="G63" s="1381"/>
      <c r="H63" s="1382">
        <f t="shared" si="2"/>
        <v>0.8126767550360666</v>
      </c>
      <c r="I63" s="1381">
        <f>I65+I64</f>
        <v>647828</v>
      </c>
      <c r="J63" s="1381">
        <f>J65+J64</f>
        <v>670065</v>
      </c>
      <c r="K63" s="1381">
        <f>K65+K64</f>
        <v>593485</v>
      </c>
      <c r="L63" s="1381"/>
      <c r="M63" s="1382">
        <f t="shared" si="4"/>
        <v>0.885712580122824</v>
      </c>
    </row>
    <row r="64" spans="1:13" s="876" customFormat="1" ht="16.5" customHeight="1">
      <c r="A64" s="1391" t="s">
        <v>311</v>
      </c>
      <c r="B64" s="1392" t="s">
        <v>492</v>
      </c>
      <c r="C64" s="1393" t="s">
        <v>493</v>
      </c>
      <c r="D64" s="1394">
        <v>45000</v>
      </c>
      <c r="E64" s="1394">
        <v>45000</v>
      </c>
      <c r="F64" s="1394">
        <v>11580</v>
      </c>
      <c r="G64" s="1394"/>
      <c r="H64" s="1395">
        <f t="shared" si="2"/>
        <v>0.25733333333333336</v>
      </c>
      <c r="I64" s="1396">
        <v>46700</v>
      </c>
      <c r="J64" s="1394">
        <v>46700</v>
      </c>
      <c r="K64" s="1396">
        <v>57628</v>
      </c>
      <c r="L64" s="1395"/>
      <c r="M64" s="1338">
        <f t="shared" si="4"/>
        <v>1.2340042826552462</v>
      </c>
    </row>
    <row r="65" spans="1:13" s="1284" customFormat="1" ht="24" customHeight="1">
      <c r="A65" s="1397" t="s">
        <v>1055</v>
      </c>
      <c r="B65" s="1397" t="s">
        <v>1056</v>
      </c>
      <c r="C65" s="1294" t="s">
        <v>564</v>
      </c>
      <c r="D65" s="1337">
        <v>600000</v>
      </c>
      <c r="E65" s="1337">
        <v>622237</v>
      </c>
      <c r="F65" s="1337">
        <v>530668</v>
      </c>
      <c r="G65" s="1337"/>
      <c r="H65" s="1338">
        <f t="shared" si="2"/>
        <v>0.8528390307873045</v>
      </c>
      <c r="I65" s="1337">
        <v>601128</v>
      </c>
      <c r="J65" s="1337">
        <v>623365</v>
      </c>
      <c r="K65" s="1337">
        <v>535857</v>
      </c>
      <c r="L65" s="1337"/>
      <c r="M65" s="1338">
        <f t="shared" si="4"/>
        <v>0.8596199658306128</v>
      </c>
    </row>
    <row r="68" ht="12.75">
      <c r="J68" s="1980" t="s">
        <v>449</v>
      </c>
    </row>
    <row r="69" ht="12.75">
      <c r="J69" s="1980" t="s">
        <v>450</v>
      </c>
    </row>
    <row r="70" ht="12.75">
      <c r="J70" s="1980" t="s">
        <v>451</v>
      </c>
    </row>
  </sheetData>
  <mergeCells count="2">
    <mergeCell ref="F8:G8"/>
    <mergeCell ref="K8:L8"/>
  </mergeCells>
  <printOptions horizontalCentered="1"/>
  <pageMargins left="0.5905511811023623" right="0.5905511811023623" top="0.5905511811023623" bottom="0.5905511811023623" header="0.5118110236220472" footer="0.5118110236220472"/>
  <pageSetup firstPageNumber="55" useFirstPageNumber="1" horizontalDpi="300" verticalDpi="300" orientation="landscape" paperSize="9" scale="8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G18" sqref="G18:G20"/>
    </sheetView>
  </sheetViews>
  <sheetFormatPr defaultColWidth="9.00390625" defaultRowHeight="12.75"/>
  <cols>
    <col min="1" max="1" width="6.75390625" style="1132" customWidth="1"/>
    <col min="2" max="2" width="10.00390625" style="1132" customWidth="1"/>
    <col min="3" max="3" width="45.875" style="694" customWidth="1"/>
    <col min="4" max="4" width="11.25390625" style="694" hidden="1" customWidth="1"/>
    <col min="5" max="5" width="17.875" style="694" hidden="1" customWidth="1"/>
    <col min="6" max="8" width="19.375" style="694" customWidth="1"/>
    <col min="9" max="9" width="10.375" style="694" customWidth="1"/>
    <col min="10" max="10" width="28.875" style="1132" customWidth="1"/>
    <col min="11" max="11" width="17.875" style="694" hidden="1" customWidth="1"/>
    <col min="12" max="12" width="10.25390625" style="694" hidden="1" customWidth="1"/>
    <col min="13" max="13" width="10.875" style="694" customWidth="1"/>
    <col min="14" max="16384" width="9.125" style="694" customWidth="1"/>
  </cols>
  <sheetData>
    <row r="1" spans="8:12" ht="15.75" customHeight="1">
      <c r="H1" s="694" t="s">
        <v>1057</v>
      </c>
      <c r="L1" s="694" t="s">
        <v>1013</v>
      </c>
    </row>
    <row r="2" spans="4:12" ht="15.75" customHeight="1">
      <c r="D2" s="714"/>
      <c r="E2" s="714"/>
      <c r="F2" s="714"/>
      <c r="G2" s="714"/>
      <c r="H2" s="3" t="s">
        <v>977</v>
      </c>
      <c r="I2" s="714"/>
      <c r="J2" s="1398"/>
      <c r="L2" s="694" t="s">
        <v>295</v>
      </c>
    </row>
    <row r="3" spans="3:12" ht="15.75" customHeight="1">
      <c r="C3" s="328"/>
      <c r="D3" s="871"/>
      <c r="E3" s="871"/>
      <c r="F3" s="871"/>
      <c r="G3" s="871"/>
      <c r="H3" s="11" t="s">
        <v>292</v>
      </c>
      <c r="I3" s="871"/>
      <c r="J3" s="1398"/>
      <c r="L3" s="694" t="s">
        <v>1058</v>
      </c>
    </row>
    <row r="4" spans="2:12" ht="15.75" customHeight="1">
      <c r="B4" s="875" t="s">
        <v>1059</v>
      </c>
      <c r="D4" s="714"/>
      <c r="E4" s="714"/>
      <c r="F4" s="714"/>
      <c r="G4" s="714"/>
      <c r="H4" s="11" t="s">
        <v>978</v>
      </c>
      <c r="I4" s="714"/>
      <c r="J4" s="1398"/>
      <c r="L4" s="694" t="s">
        <v>953</v>
      </c>
    </row>
    <row r="5" spans="1:9" ht="11.25" customHeight="1">
      <c r="A5" s="1399"/>
      <c r="D5" s="714"/>
      <c r="E5" s="714"/>
      <c r="F5" s="714"/>
      <c r="G5" s="714"/>
      <c r="H5" s="714"/>
      <c r="I5" s="714"/>
    </row>
    <row r="6" spans="1:11" ht="19.5" customHeight="1" thickBot="1">
      <c r="A6" s="1400"/>
      <c r="B6" s="1400"/>
      <c r="C6" s="734"/>
      <c r="D6" s="1400"/>
      <c r="E6" s="734"/>
      <c r="F6" s="734"/>
      <c r="G6" s="734"/>
      <c r="H6" s="734"/>
      <c r="I6" s="1401" t="s">
        <v>297</v>
      </c>
      <c r="K6" s="734"/>
    </row>
    <row r="7" spans="1:12" s="430" customFormat="1" ht="54.75" customHeight="1" thickBot="1" thickTop="1">
      <c r="A7" s="1133" t="s">
        <v>303</v>
      </c>
      <c r="B7" s="1133" t="s">
        <v>607</v>
      </c>
      <c r="C7" s="1133" t="s">
        <v>1060</v>
      </c>
      <c r="D7" s="883" t="s">
        <v>1061</v>
      </c>
      <c r="E7" s="883" t="s">
        <v>1062</v>
      </c>
      <c r="F7" s="883" t="s">
        <v>1063</v>
      </c>
      <c r="G7" s="883" t="s">
        <v>1064</v>
      </c>
      <c r="H7" s="883" t="s">
        <v>1065</v>
      </c>
      <c r="I7" s="883" t="s">
        <v>302</v>
      </c>
      <c r="K7" s="1133" t="s">
        <v>831</v>
      </c>
      <c r="L7" s="1402"/>
    </row>
    <row r="8" spans="1:12" s="734" customFormat="1" ht="14.25" customHeight="1" thickBot="1" thickTop="1">
      <c r="A8" s="686">
        <v>1</v>
      </c>
      <c r="B8" s="686">
        <v>2</v>
      </c>
      <c r="C8" s="686">
        <v>3</v>
      </c>
      <c r="D8" s="686">
        <v>3</v>
      </c>
      <c r="E8" s="686">
        <v>4</v>
      </c>
      <c r="F8" s="686">
        <v>4</v>
      </c>
      <c r="G8" s="686">
        <v>5</v>
      </c>
      <c r="H8" s="686">
        <v>6</v>
      </c>
      <c r="I8" s="686">
        <v>7</v>
      </c>
      <c r="K8" s="884">
        <v>7</v>
      </c>
      <c r="L8" s="885">
        <v>9</v>
      </c>
    </row>
    <row r="9" spans="1:12" s="430" customFormat="1" ht="24" customHeight="1" thickTop="1">
      <c r="A9" s="579">
        <v>921</v>
      </c>
      <c r="B9" s="1403"/>
      <c r="C9" s="1271" t="s">
        <v>1066</v>
      </c>
      <c r="D9" s="579" t="e">
        <f>SUM(#REF!+#REF!)+#REF!</f>
        <v>#REF!</v>
      </c>
      <c r="E9" s="579">
        <f>SUM(E10:E15)</f>
        <v>1259600</v>
      </c>
      <c r="F9" s="1403">
        <f>SUM(F10:F16)</f>
        <v>9770000</v>
      </c>
      <c r="G9" s="1403">
        <f>SUM(G10:G16)</f>
        <v>9790000</v>
      </c>
      <c r="H9" s="1403">
        <f>SUM(H10:H16)</f>
        <v>9397800</v>
      </c>
      <c r="I9" s="1404">
        <f aca="true" t="shared" si="0" ref="I9:I16">H9/G9</f>
        <v>0.9599387129724208</v>
      </c>
      <c r="K9" s="579">
        <f>SUM(K10:K15)</f>
        <v>3951163</v>
      </c>
      <c r="L9" s="1405" t="e">
        <f>SUM(#REF!+#REF!)+#REF!</f>
        <v>#REF!</v>
      </c>
    </row>
    <row r="10" spans="1:12" s="734" customFormat="1" ht="27.75" customHeight="1">
      <c r="A10" s="1406"/>
      <c r="B10" s="1407">
        <v>92106</v>
      </c>
      <c r="C10" s="1408" t="s">
        <v>1067</v>
      </c>
      <c r="D10" s="1162">
        <v>2000</v>
      </c>
      <c r="E10" s="1409">
        <v>30000</v>
      </c>
      <c r="F10" s="1410">
        <v>1680000</v>
      </c>
      <c r="G10" s="1410">
        <v>1700000</v>
      </c>
      <c r="H10" s="1410">
        <v>1646400</v>
      </c>
      <c r="I10" s="1411">
        <f t="shared" si="0"/>
        <v>0.9684705882352941</v>
      </c>
      <c r="K10" s="1162">
        <v>668000</v>
      </c>
      <c r="L10" s="1412">
        <v>243800</v>
      </c>
    </row>
    <row r="11" spans="1:12" s="734" customFormat="1" ht="24.75" customHeight="1">
      <c r="A11" s="1183"/>
      <c r="B11" s="1413">
        <v>92109</v>
      </c>
      <c r="C11" s="1414" t="s">
        <v>1068</v>
      </c>
      <c r="D11" s="1162">
        <v>11200</v>
      </c>
      <c r="E11" s="1412"/>
      <c r="F11" s="1410">
        <v>480000</v>
      </c>
      <c r="G11" s="1410">
        <v>480000</v>
      </c>
      <c r="H11" s="1410">
        <v>471200</v>
      </c>
      <c r="I11" s="1411">
        <f t="shared" si="0"/>
        <v>0.9816666666666667</v>
      </c>
      <c r="K11" s="1162"/>
      <c r="L11" s="1415">
        <v>391800</v>
      </c>
    </row>
    <row r="12" spans="1:12" ht="27.75" customHeight="1">
      <c r="A12" s="1183"/>
      <c r="B12" s="1413">
        <v>92109</v>
      </c>
      <c r="C12" s="1414" t="s">
        <v>1069</v>
      </c>
      <c r="D12" s="1162">
        <v>14615</v>
      </c>
      <c r="E12" s="1412">
        <v>14000</v>
      </c>
      <c r="F12" s="1410">
        <v>870000</v>
      </c>
      <c r="G12" s="1410">
        <v>870000</v>
      </c>
      <c r="H12" s="1410">
        <v>822600</v>
      </c>
      <c r="I12" s="1411">
        <f t="shared" si="0"/>
        <v>0.9455172413793104</v>
      </c>
      <c r="K12" s="1162">
        <v>316000</v>
      </c>
      <c r="L12" s="1412">
        <v>136000</v>
      </c>
    </row>
    <row r="13" spans="1:12" ht="27.75" customHeight="1">
      <c r="A13" s="1183"/>
      <c r="B13" s="1413">
        <v>92109</v>
      </c>
      <c r="C13" s="1416" t="s">
        <v>1070</v>
      </c>
      <c r="D13" s="1165">
        <v>9600</v>
      </c>
      <c r="E13" s="1417">
        <f>2493600-1445000</f>
        <v>1048600</v>
      </c>
      <c r="F13" s="1418">
        <v>370000</v>
      </c>
      <c r="G13" s="1418">
        <v>370000</v>
      </c>
      <c r="H13" s="1418">
        <v>352600</v>
      </c>
      <c r="I13" s="1419">
        <f t="shared" si="0"/>
        <v>0.952972972972973</v>
      </c>
      <c r="K13" s="1165">
        <v>2492163</v>
      </c>
      <c r="L13" s="1417">
        <v>686600</v>
      </c>
    </row>
    <row r="14" spans="1:12" ht="27.75" customHeight="1">
      <c r="A14" s="1183"/>
      <c r="B14" s="1413">
        <v>92110</v>
      </c>
      <c r="C14" s="1416" t="s">
        <v>1071</v>
      </c>
      <c r="D14" s="1162">
        <v>4079</v>
      </c>
      <c r="E14" s="1412">
        <v>167000</v>
      </c>
      <c r="F14" s="1410">
        <v>740000</v>
      </c>
      <c r="G14" s="1410">
        <v>740000</v>
      </c>
      <c r="H14" s="1410">
        <v>705000</v>
      </c>
      <c r="I14" s="1411">
        <f t="shared" si="0"/>
        <v>0.9527027027027027</v>
      </c>
      <c r="K14" s="1162">
        <v>475000</v>
      </c>
      <c r="L14" s="1412">
        <v>142900</v>
      </c>
    </row>
    <row r="15" spans="1:12" ht="27.75" customHeight="1">
      <c r="A15" s="1183"/>
      <c r="B15" s="1420">
        <v>92113</v>
      </c>
      <c r="C15" s="1416" t="s">
        <v>1072</v>
      </c>
      <c r="D15" s="1165"/>
      <c r="E15" s="1417"/>
      <c r="F15" s="1418">
        <v>1450000</v>
      </c>
      <c r="G15" s="1418">
        <v>1450000</v>
      </c>
      <c r="H15" s="1418">
        <v>1400000</v>
      </c>
      <c r="I15" s="1419">
        <f t="shared" si="0"/>
        <v>0.9655172413793104</v>
      </c>
      <c r="K15" s="1319"/>
      <c r="L15" s="1412"/>
    </row>
    <row r="16" spans="1:9" ht="25.5" customHeight="1">
      <c r="A16" s="1190"/>
      <c r="B16" s="1421">
        <v>92116</v>
      </c>
      <c r="C16" s="1169" t="s">
        <v>1073</v>
      </c>
      <c r="D16" s="1190"/>
      <c r="E16" s="1422"/>
      <c r="F16" s="1423">
        <v>4180000</v>
      </c>
      <c r="G16" s="1423">
        <v>4180000</v>
      </c>
      <c r="H16" s="1423">
        <v>4000000</v>
      </c>
      <c r="I16" s="1424">
        <f t="shared" si="0"/>
        <v>0.9569377990430622</v>
      </c>
    </row>
    <row r="17" ht="19.5" customHeight="1"/>
    <row r="18" ht="12.75">
      <c r="G18" s="1980" t="s">
        <v>449</v>
      </c>
    </row>
    <row r="19" ht="12.75">
      <c r="G19" s="1980" t="s">
        <v>450</v>
      </c>
    </row>
    <row r="20" ht="12.75">
      <c r="G20" s="1980" t="s">
        <v>451</v>
      </c>
    </row>
  </sheetData>
  <printOptions horizontalCentered="1"/>
  <pageMargins left="0.5905511811023623" right="0.5905511811023623" top="0.8267716535433072" bottom="0.5905511811023623" header="0.5118110236220472" footer="0.5118110236220472"/>
  <pageSetup firstPageNumber="57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61"/>
  <sheetViews>
    <sheetView zoomScale="75" zoomScaleNormal="75" workbookViewId="0" topLeftCell="A1">
      <selection activeCell="G59" sqref="G59:G61"/>
    </sheetView>
  </sheetViews>
  <sheetFormatPr defaultColWidth="9.00390625" defaultRowHeight="12.75"/>
  <cols>
    <col min="1" max="1" width="5.75390625" style="0" customWidth="1"/>
    <col min="2" max="2" width="7.00390625" style="0" customWidth="1"/>
    <col min="3" max="3" width="51.375" style="0" customWidth="1"/>
    <col min="4" max="6" width="14.75390625" style="0" customWidth="1"/>
    <col min="8" max="8" width="44.875" style="0" customWidth="1"/>
  </cols>
  <sheetData>
    <row r="1" spans="7:8" ht="14.25">
      <c r="G1" s="869"/>
      <c r="H1" s="11" t="s">
        <v>986</v>
      </c>
    </row>
    <row r="2" spans="7:8" ht="14.25">
      <c r="G2" s="869"/>
      <c r="H2" s="3" t="s">
        <v>983</v>
      </c>
    </row>
    <row r="3" spans="1:18" s="676" customFormat="1" ht="17.25" customHeight="1">
      <c r="A3" s="680" t="s">
        <v>1074</v>
      </c>
      <c r="H3" s="11" t="s">
        <v>984</v>
      </c>
      <c r="I3"/>
      <c r="J3"/>
      <c r="K3"/>
      <c r="L3"/>
      <c r="M3"/>
      <c r="N3"/>
      <c r="O3"/>
      <c r="P3"/>
      <c r="Q3"/>
      <c r="R3"/>
    </row>
    <row r="4" spans="1:18" s="676" customFormat="1" ht="17.25" customHeight="1">
      <c r="A4" s="680" t="s">
        <v>0</v>
      </c>
      <c r="H4" s="11" t="s">
        <v>985</v>
      </c>
      <c r="I4"/>
      <c r="J4"/>
      <c r="K4"/>
      <c r="L4"/>
      <c r="M4"/>
      <c r="N4"/>
      <c r="O4"/>
      <c r="P4"/>
      <c r="Q4"/>
      <c r="R4"/>
    </row>
    <row r="5" spans="1:18" s="676" customFormat="1" ht="17.25" customHeight="1">
      <c r="A5" s="680"/>
      <c r="H5" s="11"/>
      <c r="I5"/>
      <c r="J5"/>
      <c r="K5"/>
      <c r="L5"/>
      <c r="M5"/>
      <c r="N5"/>
      <c r="O5"/>
      <c r="P5"/>
      <c r="Q5"/>
      <c r="R5"/>
    </row>
    <row r="6" ht="15" thickBot="1">
      <c r="H6" s="1425" t="s">
        <v>297</v>
      </c>
    </row>
    <row r="7" spans="1:18" s="694" customFormat="1" ht="65.25" thickBot="1" thickTop="1">
      <c r="A7" s="883" t="s">
        <v>303</v>
      </c>
      <c r="B7" s="1133" t="s">
        <v>607</v>
      </c>
      <c r="C7" s="1133" t="s">
        <v>1</v>
      </c>
      <c r="D7" s="1135" t="s">
        <v>2</v>
      </c>
      <c r="E7" s="1135" t="s">
        <v>3</v>
      </c>
      <c r="F7" s="1135" t="s">
        <v>4</v>
      </c>
      <c r="G7" s="1135" t="s">
        <v>5</v>
      </c>
      <c r="H7" s="1135" t="s">
        <v>6</v>
      </c>
      <c r="I7"/>
      <c r="J7"/>
      <c r="K7"/>
      <c r="L7"/>
      <c r="M7"/>
      <c r="N7"/>
      <c r="O7"/>
      <c r="P7"/>
      <c r="Q7"/>
      <c r="R7"/>
    </row>
    <row r="8" spans="1:18" s="694" customFormat="1" ht="12" customHeight="1" thickBot="1" thickTop="1">
      <c r="A8" s="686">
        <v>1</v>
      </c>
      <c r="B8" s="686">
        <v>2</v>
      </c>
      <c r="C8" s="686">
        <v>3</v>
      </c>
      <c r="D8" s="686">
        <v>4</v>
      </c>
      <c r="E8" s="686">
        <v>5</v>
      </c>
      <c r="F8" s="686">
        <v>6</v>
      </c>
      <c r="G8" s="686">
        <v>7</v>
      </c>
      <c r="H8" s="686">
        <v>8</v>
      </c>
      <c r="I8"/>
      <c r="J8"/>
      <c r="K8"/>
      <c r="L8"/>
      <c r="M8"/>
      <c r="N8"/>
      <c r="O8"/>
      <c r="P8"/>
      <c r="Q8"/>
      <c r="R8"/>
    </row>
    <row r="9" spans="1:18" s="694" customFormat="1" ht="21" customHeight="1" thickTop="1">
      <c r="A9" s="1139"/>
      <c r="B9" s="1139"/>
      <c r="C9" s="1426" t="s">
        <v>960</v>
      </c>
      <c r="D9" s="1427">
        <f>D10+D13+D36+D40+D46+D52</f>
        <v>4135000</v>
      </c>
      <c r="E9" s="1427">
        <f>E10+E13+E36+E40+E46+E52</f>
        <v>3552150</v>
      </c>
      <c r="F9" s="1427">
        <f>F10+F13+F36+F40+F46+F52</f>
        <v>3475672</v>
      </c>
      <c r="G9" s="1428">
        <f aca="true" t="shared" si="0" ref="G9:G24">F9/E9</f>
        <v>0.9784699407401152</v>
      </c>
      <c r="H9" s="1429"/>
      <c r="I9"/>
      <c r="J9"/>
      <c r="K9"/>
      <c r="L9"/>
      <c r="M9"/>
      <c r="N9"/>
      <c r="O9"/>
      <c r="P9"/>
      <c r="Q9"/>
      <c r="R9"/>
    </row>
    <row r="10" spans="1:18" s="694" customFormat="1" ht="19.5" customHeight="1">
      <c r="A10" s="1204">
        <v>630</v>
      </c>
      <c r="B10" s="1204"/>
      <c r="C10" s="176" t="s">
        <v>494</v>
      </c>
      <c r="D10" s="1205">
        <f aca="true" t="shared" si="1" ref="D10:F11">D11</f>
        <v>50000</v>
      </c>
      <c r="E10" s="1205">
        <f t="shared" si="1"/>
        <v>50000</v>
      </c>
      <c r="F10" s="1205">
        <f t="shared" si="1"/>
        <v>49000</v>
      </c>
      <c r="G10" s="1206">
        <f t="shared" si="0"/>
        <v>0.98</v>
      </c>
      <c r="H10" s="176"/>
      <c r="I10"/>
      <c r="J10"/>
      <c r="K10"/>
      <c r="L10"/>
      <c r="M10"/>
      <c r="N10"/>
      <c r="O10"/>
      <c r="P10"/>
      <c r="Q10"/>
      <c r="R10"/>
    </row>
    <row r="11" spans="1:18" s="714" customFormat="1" ht="19.5" customHeight="1">
      <c r="A11" s="662"/>
      <c r="B11" s="1223">
        <v>63003</v>
      </c>
      <c r="C11" s="399" t="s">
        <v>628</v>
      </c>
      <c r="D11" s="1225">
        <f t="shared" si="1"/>
        <v>50000</v>
      </c>
      <c r="E11" s="1225">
        <f t="shared" si="1"/>
        <v>50000</v>
      </c>
      <c r="F11" s="1225">
        <f t="shared" si="1"/>
        <v>49000</v>
      </c>
      <c r="G11" s="1226">
        <f t="shared" si="0"/>
        <v>0.98</v>
      </c>
      <c r="H11" s="1223"/>
      <c r="I11"/>
      <c r="J11"/>
      <c r="K11"/>
      <c r="L11"/>
      <c r="M11"/>
      <c r="N11"/>
      <c r="O11"/>
      <c r="P11"/>
      <c r="Q11"/>
      <c r="R11"/>
    </row>
    <row r="12" spans="1:18" s="694" customFormat="1" ht="19.5" customHeight="1">
      <c r="A12" s="1139"/>
      <c r="B12" s="1430"/>
      <c r="C12" s="1431" t="s">
        <v>629</v>
      </c>
      <c r="D12" s="1432">
        <v>50000</v>
      </c>
      <c r="E12" s="1432">
        <v>50000</v>
      </c>
      <c r="F12" s="1432">
        <v>49000</v>
      </c>
      <c r="G12" s="1433">
        <f t="shared" si="0"/>
        <v>0.98</v>
      </c>
      <c r="H12" s="1434" t="s">
        <v>7</v>
      </c>
      <c r="I12"/>
      <c r="J12"/>
      <c r="K12"/>
      <c r="L12"/>
      <c r="M12"/>
      <c r="N12"/>
      <c r="O12"/>
      <c r="P12"/>
      <c r="Q12"/>
      <c r="R12"/>
    </row>
    <row r="13" spans="1:18" s="694" customFormat="1" ht="19.5" customHeight="1">
      <c r="A13" s="1204">
        <v>851</v>
      </c>
      <c r="B13" s="1204"/>
      <c r="C13" s="176" t="s">
        <v>393</v>
      </c>
      <c r="D13" s="396">
        <f>D14+D19+D26</f>
        <v>1817000</v>
      </c>
      <c r="E13" s="396">
        <f>E14+E19+E26</f>
        <v>1704150</v>
      </c>
      <c r="F13" s="396">
        <f>F14+F19+F26</f>
        <v>1661880</v>
      </c>
      <c r="G13" s="397">
        <f t="shared" si="0"/>
        <v>0.9751958454361412</v>
      </c>
      <c r="H13" s="176"/>
      <c r="I13"/>
      <c r="J13"/>
      <c r="K13"/>
      <c r="L13"/>
      <c r="M13"/>
      <c r="N13"/>
      <c r="O13"/>
      <c r="P13"/>
      <c r="Q13"/>
      <c r="R13"/>
    </row>
    <row r="14" spans="1:18" s="714" customFormat="1" ht="19.5" customHeight="1">
      <c r="A14" s="662"/>
      <c r="B14" s="1223">
        <v>85153</v>
      </c>
      <c r="C14" s="1223" t="s">
        <v>697</v>
      </c>
      <c r="D14" s="1225">
        <f>D15</f>
        <v>49000</v>
      </c>
      <c r="E14" s="1225">
        <f>E15</f>
        <v>42000</v>
      </c>
      <c r="F14" s="1225">
        <f>F15</f>
        <v>41986</v>
      </c>
      <c r="G14" s="1226">
        <f t="shared" si="0"/>
        <v>0.9996666666666667</v>
      </c>
      <c r="H14" s="1223"/>
      <c r="I14"/>
      <c r="J14"/>
      <c r="K14"/>
      <c r="L14"/>
      <c r="M14"/>
      <c r="N14"/>
      <c r="O14"/>
      <c r="P14"/>
      <c r="Q14"/>
      <c r="R14"/>
    </row>
    <row r="15" spans="1:18" s="694" customFormat="1" ht="27" customHeight="1">
      <c r="A15" s="1139"/>
      <c r="B15" s="1430"/>
      <c r="C15" s="1431" t="s">
        <v>8</v>
      </c>
      <c r="D15" s="1432">
        <f>SUM(D16:D18)</f>
        <v>49000</v>
      </c>
      <c r="E15" s="1432">
        <f>SUM(E16:E18)</f>
        <v>42000</v>
      </c>
      <c r="F15" s="1432">
        <f>SUM(F16:F18)</f>
        <v>41986</v>
      </c>
      <c r="G15" s="1433">
        <f t="shared" si="0"/>
        <v>0.9996666666666667</v>
      </c>
      <c r="H15" s="1435"/>
      <c r="I15"/>
      <c r="J15"/>
      <c r="K15"/>
      <c r="L15"/>
      <c r="M15"/>
      <c r="N15"/>
      <c r="O15"/>
      <c r="P15"/>
      <c r="Q15"/>
      <c r="R15"/>
    </row>
    <row r="16" spans="1:18" s="694" customFormat="1" ht="19.5" customHeight="1">
      <c r="A16" s="1139"/>
      <c r="B16" s="1139"/>
      <c r="C16" s="623" t="s">
        <v>9</v>
      </c>
      <c r="D16" s="1162">
        <v>10000</v>
      </c>
      <c r="E16" s="1162">
        <v>10000</v>
      </c>
      <c r="F16" s="1162">
        <v>10000</v>
      </c>
      <c r="G16" s="1163">
        <f t="shared" si="0"/>
        <v>1</v>
      </c>
      <c r="H16" s="1434" t="s">
        <v>10</v>
      </c>
      <c r="I16"/>
      <c r="J16"/>
      <c r="K16"/>
      <c r="L16"/>
      <c r="M16"/>
      <c r="N16"/>
      <c r="O16"/>
      <c r="P16"/>
      <c r="Q16"/>
      <c r="R16"/>
    </row>
    <row r="17" spans="1:18" s="694" customFormat="1" ht="25.5" customHeight="1">
      <c r="A17" s="1139"/>
      <c r="B17" s="1139"/>
      <c r="C17" s="1164" t="s">
        <v>11</v>
      </c>
      <c r="D17" s="1165">
        <v>24000</v>
      </c>
      <c r="E17" s="1165">
        <v>24000</v>
      </c>
      <c r="F17" s="1165">
        <v>23986</v>
      </c>
      <c r="G17" s="1166">
        <f t="shared" si="0"/>
        <v>0.9994166666666666</v>
      </c>
      <c r="H17" s="1164" t="s">
        <v>12</v>
      </c>
      <c r="I17"/>
      <c r="J17"/>
      <c r="K17"/>
      <c r="L17"/>
      <c r="M17"/>
      <c r="N17"/>
      <c r="O17"/>
      <c r="P17"/>
      <c r="Q17"/>
      <c r="R17"/>
    </row>
    <row r="18" spans="1:18" s="694" customFormat="1" ht="24.75" customHeight="1">
      <c r="A18" s="1139"/>
      <c r="B18" s="1169"/>
      <c r="C18" s="353" t="s">
        <v>13</v>
      </c>
      <c r="D18" s="1190">
        <v>15000</v>
      </c>
      <c r="E18" s="1190">
        <v>8000</v>
      </c>
      <c r="F18" s="1190">
        <v>8000</v>
      </c>
      <c r="G18" s="1191">
        <f t="shared" si="0"/>
        <v>1</v>
      </c>
      <c r="H18" s="1169" t="s">
        <v>14</v>
      </c>
      <c r="I18"/>
      <c r="J18"/>
      <c r="K18"/>
      <c r="L18"/>
      <c r="M18"/>
      <c r="N18"/>
      <c r="O18"/>
      <c r="P18"/>
      <c r="Q18"/>
      <c r="R18"/>
    </row>
    <row r="19" spans="1:18" s="694" customFormat="1" ht="19.5" customHeight="1">
      <c r="A19" s="1139"/>
      <c r="B19" s="663">
        <v>85154</v>
      </c>
      <c r="C19" s="609" t="s">
        <v>699</v>
      </c>
      <c r="D19" s="365">
        <f>D20</f>
        <v>1558000</v>
      </c>
      <c r="E19" s="365">
        <f>E20</f>
        <v>1452150</v>
      </c>
      <c r="F19" s="365">
        <f>F20</f>
        <v>1423360</v>
      </c>
      <c r="G19" s="366">
        <f t="shared" si="0"/>
        <v>0.9801742244258513</v>
      </c>
      <c r="H19" s="609"/>
      <c r="I19"/>
      <c r="J19"/>
      <c r="K19"/>
      <c r="L19"/>
      <c r="M19"/>
      <c r="N19"/>
      <c r="O19"/>
      <c r="P19"/>
      <c r="Q19"/>
      <c r="R19"/>
    </row>
    <row r="20" spans="1:18" s="694" customFormat="1" ht="38.25">
      <c r="A20" s="1139"/>
      <c r="B20" s="1139"/>
      <c r="C20" s="1431" t="s">
        <v>15</v>
      </c>
      <c r="D20" s="1432">
        <f>SUM(D21:D24)</f>
        <v>1558000</v>
      </c>
      <c r="E20" s="1432">
        <f>SUM(E21:E24)</f>
        <v>1452150</v>
      </c>
      <c r="F20" s="1432">
        <f>SUM(F21:F24)</f>
        <v>1423360</v>
      </c>
      <c r="G20" s="1433">
        <f t="shared" si="0"/>
        <v>0.9801742244258513</v>
      </c>
      <c r="H20" s="1431"/>
      <c r="I20"/>
      <c r="J20"/>
      <c r="K20"/>
      <c r="L20"/>
      <c r="M20"/>
      <c r="N20"/>
      <c r="O20"/>
      <c r="P20"/>
      <c r="Q20"/>
      <c r="R20"/>
    </row>
    <row r="21" spans="1:18" s="694" customFormat="1" ht="39" customHeight="1">
      <c r="A21" s="1139"/>
      <c r="B21" s="1139"/>
      <c r="C21" s="623" t="s">
        <v>16</v>
      </c>
      <c r="D21" s="1162">
        <v>488000</v>
      </c>
      <c r="E21" s="1162">
        <v>488000</v>
      </c>
      <c r="F21" s="1162">
        <v>488000</v>
      </c>
      <c r="G21" s="1163">
        <f t="shared" si="0"/>
        <v>1</v>
      </c>
      <c r="H21" s="658" t="s">
        <v>17</v>
      </c>
      <c r="I21"/>
      <c r="J21"/>
      <c r="K21"/>
      <c r="L21"/>
      <c r="M21"/>
      <c r="N21"/>
      <c r="O21"/>
      <c r="P21"/>
      <c r="Q21"/>
      <c r="R21"/>
    </row>
    <row r="22" spans="1:18" s="1436" customFormat="1" ht="38.25">
      <c r="A22" s="1139"/>
      <c r="B22" s="1139"/>
      <c r="C22" s="1164" t="s">
        <v>18</v>
      </c>
      <c r="D22" s="1165">
        <v>520000</v>
      </c>
      <c r="E22" s="1165">
        <v>498000</v>
      </c>
      <c r="F22" s="1165">
        <v>489439</v>
      </c>
      <c r="G22" s="1166">
        <f t="shared" si="0"/>
        <v>0.9828092369477912</v>
      </c>
      <c r="H22" s="1164" t="s">
        <v>19</v>
      </c>
      <c r="I22"/>
      <c r="J22"/>
      <c r="K22"/>
      <c r="L22"/>
      <c r="M22"/>
      <c r="N22"/>
      <c r="O22"/>
      <c r="P22"/>
      <c r="Q22"/>
      <c r="R22"/>
    </row>
    <row r="23" spans="1:18" s="694" customFormat="1" ht="38.25">
      <c r="A23" s="1139"/>
      <c r="B23" s="1139"/>
      <c r="C23" s="623" t="s">
        <v>20</v>
      </c>
      <c r="D23" s="1162">
        <v>500000</v>
      </c>
      <c r="E23" s="1162">
        <v>425150</v>
      </c>
      <c r="F23" s="1162">
        <v>405165</v>
      </c>
      <c r="G23" s="1163">
        <f t="shared" si="0"/>
        <v>0.9529930612724921</v>
      </c>
      <c r="H23" s="623" t="s">
        <v>21</v>
      </c>
      <c r="I23"/>
      <c r="J23"/>
      <c r="K23"/>
      <c r="L23"/>
      <c r="M23"/>
      <c r="N23"/>
      <c r="O23"/>
      <c r="P23"/>
      <c r="Q23"/>
      <c r="R23"/>
    </row>
    <row r="24" spans="1:18" s="734" customFormat="1" ht="38.25">
      <c r="A24" s="1139"/>
      <c r="B24" s="1139"/>
      <c r="C24" s="1437" t="s">
        <v>22</v>
      </c>
      <c r="D24" s="1438">
        <v>50000</v>
      </c>
      <c r="E24" s="1438">
        <v>41000</v>
      </c>
      <c r="F24" s="1438">
        <v>40756</v>
      </c>
      <c r="G24" s="1439">
        <f t="shared" si="0"/>
        <v>0.9940487804878049</v>
      </c>
      <c r="H24" s="1182" t="s">
        <v>23</v>
      </c>
      <c r="I24" s="297"/>
      <c r="J24" s="297"/>
      <c r="K24" s="297"/>
      <c r="L24" s="297"/>
      <c r="M24" s="297"/>
      <c r="N24" s="297"/>
      <c r="O24" s="297"/>
      <c r="P24" s="297"/>
      <c r="Q24" s="297"/>
      <c r="R24" s="297"/>
    </row>
    <row r="25" spans="3:18" s="897" customFormat="1" ht="21" customHeight="1">
      <c r="C25" s="634"/>
      <c r="D25" s="1440"/>
      <c r="E25" s="1440"/>
      <c r="F25" s="1440"/>
      <c r="G25" s="1441"/>
      <c r="H25" s="1442"/>
      <c r="I25" s="1443"/>
      <c r="J25" s="1443"/>
      <c r="K25" s="1443"/>
      <c r="L25" s="1443"/>
      <c r="M25" s="1443"/>
      <c r="N25" s="1443"/>
      <c r="O25" s="1443"/>
      <c r="P25" s="1443"/>
      <c r="Q25" s="1443"/>
      <c r="R25" s="1443"/>
    </row>
    <row r="26" spans="1:18" s="694" customFormat="1" ht="20.25" customHeight="1">
      <c r="A26" s="1139"/>
      <c r="B26" s="663">
        <v>85195</v>
      </c>
      <c r="C26" s="663" t="s">
        <v>314</v>
      </c>
      <c r="D26" s="1150">
        <f>D27</f>
        <v>210000</v>
      </c>
      <c r="E26" s="1150">
        <f>E27</f>
        <v>210000</v>
      </c>
      <c r="F26" s="1150">
        <f>F27</f>
        <v>196534</v>
      </c>
      <c r="G26" s="1151">
        <f aca="true" t="shared" si="2" ref="G26:G37">F26/E26</f>
        <v>0.9358761904761905</v>
      </c>
      <c r="H26" s="663"/>
      <c r="I26"/>
      <c r="J26"/>
      <c r="K26"/>
      <c r="L26"/>
      <c r="M26"/>
      <c r="N26"/>
      <c r="O26"/>
      <c r="P26"/>
      <c r="Q26"/>
      <c r="R26"/>
    </row>
    <row r="27" spans="1:18" s="694" customFormat="1" ht="22.5" customHeight="1">
      <c r="A27" s="1139"/>
      <c r="B27" s="1430"/>
      <c r="C27" s="1431" t="s">
        <v>24</v>
      </c>
      <c r="D27" s="1432">
        <f>SUM(D28:D35)</f>
        <v>210000</v>
      </c>
      <c r="E27" s="1432">
        <f>SUM(E28:E35)</f>
        <v>210000</v>
      </c>
      <c r="F27" s="1432">
        <f>SUM(F28:F35)</f>
        <v>196534</v>
      </c>
      <c r="G27" s="1433">
        <f t="shared" si="2"/>
        <v>0.9358761904761905</v>
      </c>
      <c r="H27" s="1435"/>
      <c r="I27"/>
      <c r="J27"/>
      <c r="K27"/>
      <c r="L27"/>
      <c r="M27"/>
      <c r="N27"/>
      <c r="O27"/>
      <c r="P27"/>
      <c r="Q27"/>
      <c r="R27"/>
    </row>
    <row r="28" spans="1:18" s="694" customFormat="1" ht="51.75" customHeight="1">
      <c r="A28" s="1139"/>
      <c r="B28" s="1139"/>
      <c r="C28" s="1444" t="s">
        <v>25</v>
      </c>
      <c r="D28" s="1162">
        <v>25000</v>
      </c>
      <c r="E28" s="1162">
        <v>25000</v>
      </c>
      <c r="F28" s="1162">
        <v>23820</v>
      </c>
      <c r="G28" s="1163">
        <f t="shared" si="2"/>
        <v>0.9528</v>
      </c>
      <c r="H28" s="623" t="s">
        <v>26</v>
      </c>
      <c r="I28"/>
      <c r="J28"/>
      <c r="K28"/>
      <c r="L28"/>
      <c r="M28"/>
      <c r="N28"/>
      <c r="O28"/>
      <c r="P28"/>
      <c r="Q28"/>
      <c r="R28"/>
    </row>
    <row r="29" spans="1:18" s="694" customFormat="1" ht="25.5">
      <c r="A29" s="1139"/>
      <c r="B29" s="1139"/>
      <c r="C29" s="1414" t="s">
        <v>27</v>
      </c>
      <c r="D29" s="1165">
        <v>100000</v>
      </c>
      <c r="E29" s="1165">
        <v>100000</v>
      </c>
      <c r="F29" s="1165">
        <v>99714</v>
      </c>
      <c r="G29" s="1166">
        <f t="shared" si="2"/>
        <v>0.99714</v>
      </c>
      <c r="H29" s="623" t="s">
        <v>26</v>
      </c>
      <c r="I29"/>
      <c r="J29"/>
      <c r="K29"/>
      <c r="L29"/>
      <c r="M29"/>
      <c r="N29"/>
      <c r="O29"/>
      <c r="P29"/>
      <c r="Q29"/>
      <c r="R29"/>
    </row>
    <row r="30" spans="1:18" s="694" customFormat="1" ht="25.5">
      <c r="A30" s="1139"/>
      <c r="B30" s="1139"/>
      <c r="C30" s="1414" t="s">
        <v>28</v>
      </c>
      <c r="D30" s="1165">
        <v>27000</v>
      </c>
      <c r="E30" s="1165">
        <v>27000</v>
      </c>
      <c r="F30" s="1165">
        <v>27000</v>
      </c>
      <c r="G30" s="1166">
        <f t="shared" si="2"/>
        <v>1</v>
      </c>
      <c r="H30" s="623" t="s">
        <v>29</v>
      </c>
      <c r="I30"/>
      <c r="J30"/>
      <c r="K30"/>
      <c r="L30"/>
      <c r="M30"/>
      <c r="N30"/>
      <c r="O30"/>
      <c r="P30"/>
      <c r="Q30"/>
      <c r="R30"/>
    </row>
    <row r="31" spans="1:18" s="694" customFormat="1" ht="63.75">
      <c r="A31" s="1139"/>
      <c r="B31" s="1139"/>
      <c r="C31" s="1414" t="s">
        <v>30</v>
      </c>
      <c r="D31" s="1165">
        <v>12000</v>
      </c>
      <c r="E31" s="1165">
        <v>12000</v>
      </c>
      <c r="F31" s="1165" t="s">
        <v>291</v>
      </c>
      <c r="G31" s="1166" t="e">
        <f t="shared" si="2"/>
        <v>#VALUE!</v>
      </c>
      <c r="H31" s="1164" t="s">
        <v>31</v>
      </c>
      <c r="I31"/>
      <c r="J31"/>
      <c r="K31"/>
      <c r="L31"/>
      <c r="M31"/>
      <c r="N31"/>
      <c r="O31"/>
      <c r="P31"/>
      <c r="Q31"/>
      <c r="R31"/>
    </row>
    <row r="32" spans="1:18" s="694" customFormat="1" ht="63.75">
      <c r="A32" s="1139"/>
      <c r="B32" s="1139"/>
      <c r="C32" s="1414" t="s">
        <v>32</v>
      </c>
      <c r="D32" s="1165">
        <v>6000</v>
      </c>
      <c r="E32" s="1165">
        <v>6000</v>
      </c>
      <c r="F32" s="1165">
        <v>6000</v>
      </c>
      <c r="G32" s="1166">
        <f t="shared" si="2"/>
        <v>1</v>
      </c>
      <c r="H32" s="1164" t="s">
        <v>33</v>
      </c>
      <c r="I32"/>
      <c r="J32"/>
      <c r="K32"/>
      <c r="L32"/>
      <c r="M32"/>
      <c r="N32"/>
      <c r="O32"/>
      <c r="P32"/>
      <c r="Q32"/>
      <c r="R32"/>
    </row>
    <row r="33" spans="1:18" s="694" customFormat="1" ht="38.25">
      <c r="A33" s="1139"/>
      <c r="B33" s="1139"/>
      <c r="C33" s="1164" t="s">
        <v>34</v>
      </c>
      <c r="D33" s="1165">
        <v>18000</v>
      </c>
      <c r="E33" s="1165">
        <v>18000</v>
      </c>
      <c r="F33" s="1165">
        <v>18000</v>
      </c>
      <c r="G33" s="1166">
        <f t="shared" si="2"/>
        <v>1</v>
      </c>
      <c r="H33" s="1164" t="s">
        <v>35</v>
      </c>
      <c r="I33"/>
      <c r="J33"/>
      <c r="K33"/>
      <c r="L33"/>
      <c r="M33"/>
      <c r="N33"/>
      <c r="O33"/>
      <c r="P33"/>
      <c r="Q33"/>
      <c r="R33"/>
    </row>
    <row r="34" spans="1:18" s="694" customFormat="1" ht="18.75" customHeight="1">
      <c r="A34" s="1139"/>
      <c r="B34" s="1139"/>
      <c r="C34" s="1445" t="s">
        <v>36</v>
      </c>
      <c r="D34" s="1162">
        <v>12000</v>
      </c>
      <c r="E34" s="1162">
        <v>12000</v>
      </c>
      <c r="F34" s="1162">
        <v>12000</v>
      </c>
      <c r="G34" s="1163">
        <f t="shared" si="2"/>
        <v>1</v>
      </c>
      <c r="H34" s="623" t="s">
        <v>37</v>
      </c>
      <c r="I34"/>
      <c r="J34"/>
      <c r="K34"/>
      <c r="L34"/>
      <c r="M34"/>
      <c r="N34"/>
      <c r="O34"/>
      <c r="P34"/>
      <c r="Q34"/>
      <c r="R34"/>
    </row>
    <row r="35" spans="1:18" s="694" customFormat="1" ht="25.5">
      <c r="A35" s="1139"/>
      <c r="B35" s="1139"/>
      <c r="C35" s="1414" t="s">
        <v>38</v>
      </c>
      <c r="D35" s="1165">
        <v>10000</v>
      </c>
      <c r="E35" s="1165">
        <v>10000</v>
      </c>
      <c r="F35" s="1165">
        <v>10000</v>
      </c>
      <c r="G35" s="1166">
        <f t="shared" si="2"/>
        <v>1</v>
      </c>
      <c r="H35" s="623" t="s">
        <v>37</v>
      </c>
      <c r="I35"/>
      <c r="J35"/>
      <c r="K35"/>
      <c r="L35"/>
      <c r="M35"/>
      <c r="N35"/>
      <c r="O35"/>
      <c r="P35"/>
      <c r="Q35"/>
      <c r="R35"/>
    </row>
    <row r="36" spans="1:18" s="694" customFormat="1" ht="19.5" customHeight="1">
      <c r="A36" s="1204">
        <v>853</v>
      </c>
      <c r="B36" s="1204"/>
      <c r="C36" s="176" t="s">
        <v>395</v>
      </c>
      <c r="D36" s="1205">
        <f>D37</f>
        <v>500000</v>
      </c>
      <c r="E36" s="1205">
        <f>E37</f>
        <v>30000</v>
      </c>
      <c r="F36" s="1205">
        <f>F37</f>
        <v>30000</v>
      </c>
      <c r="G36" s="1206">
        <f t="shared" si="2"/>
        <v>1</v>
      </c>
      <c r="H36" s="176"/>
      <c r="I36"/>
      <c r="J36"/>
      <c r="K36"/>
      <c r="L36"/>
      <c r="M36"/>
      <c r="N36"/>
      <c r="O36"/>
      <c r="P36"/>
      <c r="Q36"/>
      <c r="R36"/>
    </row>
    <row r="37" spans="1:18" s="714" customFormat="1" ht="19.5" customHeight="1">
      <c r="A37" s="662"/>
      <c r="B37" s="358">
        <v>85395</v>
      </c>
      <c r="C37" s="399" t="s">
        <v>314</v>
      </c>
      <c r="D37" s="360">
        <f>D38</f>
        <v>500000</v>
      </c>
      <c r="E37" s="360">
        <f>E38+E39</f>
        <v>30000</v>
      </c>
      <c r="F37" s="360">
        <f>F38+F39</f>
        <v>30000</v>
      </c>
      <c r="G37" s="361">
        <f t="shared" si="2"/>
        <v>1</v>
      </c>
      <c r="H37" s="1223"/>
      <c r="I37"/>
      <c r="J37"/>
      <c r="K37"/>
      <c r="L37"/>
      <c r="M37"/>
      <c r="N37"/>
      <c r="O37"/>
      <c r="P37"/>
      <c r="Q37"/>
      <c r="R37"/>
    </row>
    <row r="38" spans="1:18" s="1448" customFormat="1" ht="63.75">
      <c r="A38" s="662"/>
      <c r="B38" s="1155"/>
      <c r="C38" s="347" t="s">
        <v>715</v>
      </c>
      <c r="D38" s="1446">
        <v>500000</v>
      </c>
      <c r="E38" s="1446"/>
      <c r="F38" s="1446"/>
      <c r="G38" s="1447"/>
      <c r="H38" s="347" t="s">
        <v>39</v>
      </c>
      <c r="I38"/>
      <c r="J38"/>
      <c r="K38"/>
      <c r="L38"/>
      <c r="M38"/>
      <c r="N38"/>
      <c r="O38"/>
      <c r="P38"/>
      <c r="Q38"/>
      <c r="R38"/>
    </row>
    <row r="39" spans="1:18" s="430" customFormat="1" ht="25.5">
      <c r="A39" s="662"/>
      <c r="B39" s="1155"/>
      <c r="C39" s="403" t="s">
        <v>714</v>
      </c>
      <c r="D39" s="1201"/>
      <c r="E39" s="1201">
        <v>30000</v>
      </c>
      <c r="F39" s="1201">
        <v>30000</v>
      </c>
      <c r="G39" s="1202">
        <f>F39/E39</f>
        <v>1</v>
      </c>
      <c r="H39" s="1182" t="s">
        <v>40</v>
      </c>
      <c r="I39"/>
      <c r="J39"/>
      <c r="K39"/>
      <c r="L39"/>
      <c r="M39"/>
      <c r="N39"/>
      <c r="O39"/>
      <c r="P39"/>
      <c r="Q39"/>
      <c r="R39"/>
    </row>
    <row r="40" spans="1:18" s="694" customFormat="1" ht="21" customHeight="1">
      <c r="A40" s="1204">
        <v>854</v>
      </c>
      <c r="B40" s="1204"/>
      <c r="C40" s="176" t="s">
        <v>408</v>
      </c>
      <c r="D40" s="1205">
        <f>D41</f>
        <v>143000</v>
      </c>
      <c r="E40" s="1205">
        <f>E41</f>
        <v>143000</v>
      </c>
      <c r="F40" s="1205">
        <f>F41</f>
        <v>142692</v>
      </c>
      <c r="G40" s="1206">
        <f>F40/E40</f>
        <v>0.9978461538461538</v>
      </c>
      <c r="H40" s="176"/>
      <c r="I40"/>
      <c r="J40"/>
      <c r="K40"/>
      <c r="L40"/>
      <c r="M40"/>
      <c r="N40"/>
      <c r="O40"/>
      <c r="P40"/>
      <c r="Q40"/>
      <c r="R40"/>
    </row>
    <row r="41" spans="1:18" s="714" customFormat="1" ht="27.75" customHeight="1">
      <c r="A41" s="662"/>
      <c r="B41" s="358">
        <v>85412</v>
      </c>
      <c r="C41" s="399" t="s">
        <v>41</v>
      </c>
      <c r="D41" s="360">
        <f>SUM(D42:D43)</f>
        <v>143000</v>
      </c>
      <c r="E41" s="360">
        <f>SUM(E42:E43)</f>
        <v>143000</v>
      </c>
      <c r="F41" s="360">
        <f>SUM(F42:F43)</f>
        <v>142692</v>
      </c>
      <c r="G41" s="361">
        <f>F41/E41</f>
        <v>0.9978461538461538</v>
      </c>
      <c r="H41" s="1223"/>
      <c r="I41"/>
      <c r="J41"/>
      <c r="K41"/>
      <c r="L41"/>
      <c r="M41"/>
      <c r="N41"/>
      <c r="O41"/>
      <c r="P41"/>
      <c r="Q41"/>
      <c r="R41"/>
    </row>
    <row r="42" spans="1:18" s="1448" customFormat="1" ht="25.5">
      <c r="A42" s="662"/>
      <c r="B42" s="1155"/>
      <c r="C42" s="347" t="s">
        <v>42</v>
      </c>
      <c r="D42" s="1446">
        <v>110000</v>
      </c>
      <c r="E42" s="1446">
        <v>110000</v>
      </c>
      <c r="F42" s="1446">
        <v>109800</v>
      </c>
      <c r="G42" s="1447">
        <f>F42/E42</f>
        <v>0.9981818181818182</v>
      </c>
      <c r="H42" s="347" t="s">
        <v>43</v>
      </c>
      <c r="I42"/>
      <c r="J42"/>
      <c r="K42"/>
      <c r="L42"/>
      <c r="M42"/>
      <c r="N42"/>
      <c r="O42"/>
      <c r="P42"/>
      <c r="Q42"/>
      <c r="R42"/>
    </row>
    <row r="43" spans="1:18" s="694" customFormat="1" ht="25.5">
      <c r="A43" s="1169"/>
      <c r="B43" s="1169"/>
      <c r="C43" s="630" t="s">
        <v>44</v>
      </c>
      <c r="D43" s="1319">
        <v>33000</v>
      </c>
      <c r="E43" s="1319">
        <v>33000</v>
      </c>
      <c r="F43" s="1319">
        <v>32892</v>
      </c>
      <c r="G43" s="1449">
        <f>F43/E43</f>
        <v>0.9967272727272727</v>
      </c>
      <c r="H43" s="630" t="s">
        <v>43</v>
      </c>
      <c r="I43"/>
      <c r="J43"/>
      <c r="K43"/>
      <c r="L43"/>
      <c r="M43"/>
      <c r="N43"/>
      <c r="O43"/>
      <c r="P43"/>
      <c r="Q43"/>
      <c r="R43"/>
    </row>
    <row r="46" spans="1:18" s="694" customFormat="1" ht="19.5" customHeight="1">
      <c r="A46" s="1147">
        <v>921</v>
      </c>
      <c r="B46" s="1147"/>
      <c r="C46" s="59" t="s">
        <v>573</v>
      </c>
      <c r="D46" s="420">
        <f>D47</f>
        <v>700000</v>
      </c>
      <c r="E46" s="420">
        <f>E47</f>
        <v>700000</v>
      </c>
      <c r="F46" s="420">
        <f>F47</f>
        <v>676600</v>
      </c>
      <c r="G46" s="422">
        <f aca="true" t="shared" si="3" ref="G46:G56">F46/E46</f>
        <v>0.9665714285714285</v>
      </c>
      <c r="H46" s="420"/>
      <c r="I46"/>
      <c r="J46"/>
      <c r="K46"/>
      <c r="L46"/>
      <c r="M46"/>
      <c r="N46"/>
      <c r="O46"/>
      <c r="P46"/>
      <c r="Q46"/>
      <c r="R46"/>
    </row>
    <row r="47" spans="1:18" s="694" customFormat="1" ht="19.5" customHeight="1">
      <c r="A47" s="1139"/>
      <c r="B47" s="663">
        <v>92105</v>
      </c>
      <c r="C47" s="609" t="s">
        <v>759</v>
      </c>
      <c r="D47" s="365">
        <f>SUM(D48:D51)</f>
        <v>700000</v>
      </c>
      <c r="E47" s="365">
        <f>SUM(E48:E51)</f>
        <v>700000</v>
      </c>
      <c r="F47" s="365">
        <f>SUM(F48:F51)</f>
        <v>676600</v>
      </c>
      <c r="G47" s="366">
        <f t="shared" si="3"/>
        <v>0.9665714285714285</v>
      </c>
      <c r="H47" s="1150"/>
      <c r="I47"/>
      <c r="J47"/>
      <c r="K47"/>
      <c r="L47"/>
      <c r="M47"/>
      <c r="N47"/>
      <c r="O47"/>
      <c r="P47"/>
      <c r="Q47"/>
      <c r="R47"/>
    </row>
    <row r="48" spans="1:256" s="1436" customFormat="1" ht="19.5" customHeight="1">
      <c r="A48" s="1139"/>
      <c r="B48" s="1139"/>
      <c r="C48" s="347" t="s">
        <v>45</v>
      </c>
      <c r="D48" s="1450">
        <v>400000</v>
      </c>
      <c r="E48" s="1450">
        <v>400000</v>
      </c>
      <c r="F48" s="1450">
        <v>379000</v>
      </c>
      <c r="G48" s="1451">
        <f t="shared" si="3"/>
        <v>0.9475</v>
      </c>
      <c r="H48" s="1450" t="s">
        <v>46</v>
      </c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734"/>
      <c r="AL48" s="734"/>
      <c r="AM48" s="734"/>
      <c r="AN48" s="734"/>
      <c r="AO48" s="734"/>
      <c r="AP48" s="734"/>
      <c r="AQ48" s="734"/>
      <c r="AR48" s="734"/>
      <c r="AS48" s="734"/>
      <c r="AT48" s="734"/>
      <c r="AU48" s="734"/>
      <c r="AV48" s="734"/>
      <c r="AW48" s="734"/>
      <c r="AX48" s="734"/>
      <c r="AY48" s="734"/>
      <c r="AZ48" s="734"/>
      <c r="BA48" s="734"/>
      <c r="BB48" s="734"/>
      <c r="BC48" s="734"/>
      <c r="BD48" s="734"/>
      <c r="BE48" s="734"/>
      <c r="BF48" s="734"/>
      <c r="BG48" s="734"/>
      <c r="BH48" s="734"/>
      <c r="BI48" s="734"/>
      <c r="BJ48" s="734"/>
      <c r="BK48" s="734"/>
      <c r="BL48" s="734"/>
      <c r="BM48" s="734"/>
      <c r="BN48" s="734"/>
      <c r="BO48" s="734"/>
      <c r="BP48" s="734"/>
      <c r="BQ48" s="734"/>
      <c r="BR48" s="734"/>
      <c r="BS48" s="734"/>
      <c r="BT48" s="734"/>
      <c r="BU48" s="734"/>
      <c r="BV48" s="734"/>
      <c r="BW48" s="734"/>
      <c r="BX48" s="734"/>
      <c r="BY48" s="734"/>
      <c r="BZ48" s="734"/>
      <c r="CA48" s="734"/>
      <c r="CB48" s="734"/>
      <c r="CC48" s="734"/>
      <c r="CD48" s="734"/>
      <c r="CE48" s="734"/>
      <c r="CF48" s="734"/>
      <c r="CG48" s="734"/>
      <c r="CH48" s="734"/>
      <c r="CI48" s="734"/>
      <c r="CJ48" s="734"/>
      <c r="CK48" s="734"/>
      <c r="CL48" s="734"/>
      <c r="CM48" s="734"/>
      <c r="CN48" s="734"/>
      <c r="CO48" s="734"/>
      <c r="CP48" s="734"/>
      <c r="CQ48" s="734"/>
      <c r="CR48" s="734"/>
      <c r="CS48" s="734"/>
      <c r="CT48" s="734"/>
      <c r="CU48" s="734"/>
      <c r="CV48" s="734"/>
      <c r="CW48" s="734"/>
      <c r="CX48" s="734"/>
      <c r="CY48" s="734"/>
      <c r="CZ48" s="734"/>
      <c r="DA48" s="734"/>
      <c r="DB48" s="734"/>
      <c r="DC48" s="734"/>
      <c r="DD48" s="734"/>
      <c r="DE48" s="734"/>
      <c r="DF48" s="734"/>
      <c r="DG48" s="734"/>
      <c r="DH48" s="734"/>
      <c r="DI48" s="734"/>
      <c r="DJ48" s="734"/>
      <c r="DK48" s="734"/>
      <c r="DL48" s="734"/>
      <c r="DM48" s="734"/>
      <c r="DN48" s="734"/>
      <c r="DO48" s="734"/>
      <c r="DP48" s="734"/>
      <c r="DQ48" s="734"/>
      <c r="DR48" s="734"/>
      <c r="DS48" s="734"/>
      <c r="DT48" s="734"/>
      <c r="DU48" s="734"/>
      <c r="DV48" s="734"/>
      <c r="DW48" s="734"/>
      <c r="DX48" s="734"/>
      <c r="DY48" s="734"/>
      <c r="DZ48" s="734"/>
      <c r="EA48" s="734"/>
      <c r="EB48" s="734"/>
      <c r="EC48" s="734"/>
      <c r="ED48" s="734"/>
      <c r="EE48" s="734"/>
      <c r="EF48" s="734"/>
      <c r="EG48" s="734"/>
      <c r="EH48" s="734"/>
      <c r="EI48" s="734"/>
      <c r="EJ48" s="734"/>
      <c r="EK48" s="734"/>
      <c r="EL48" s="734"/>
      <c r="EM48" s="734"/>
      <c r="EN48" s="734"/>
      <c r="EO48" s="734"/>
      <c r="EP48" s="734"/>
      <c r="EQ48" s="734"/>
      <c r="ER48" s="734"/>
      <c r="ES48" s="734"/>
      <c r="ET48" s="734"/>
      <c r="EU48" s="734"/>
      <c r="EV48" s="734"/>
      <c r="EW48" s="734"/>
      <c r="EX48" s="734"/>
      <c r="EY48" s="734"/>
      <c r="EZ48" s="734"/>
      <c r="FA48" s="734"/>
      <c r="FB48" s="734"/>
      <c r="FC48" s="734"/>
      <c r="FD48" s="734"/>
      <c r="FE48" s="734"/>
      <c r="FF48" s="734"/>
      <c r="FG48" s="734"/>
      <c r="FH48" s="734"/>
      <c r="FI48" s="734"/>
      <c r="FJ48" s="734"/>
      <c r="FK48" s="734"/>
      <c r="FL48" s="734"/>
      <c r="FM48" s="734"/>
      <c r="FN48" s="734"/>
      <c r="FO48" s="734"/>
      <c r="FP48" s="734"/>
      <c r="FQ48" s="734"/>
      <c r="FR48" s="734"/>
      <c r="FS48" s="734"/>
      <c r="FT48" s="734"/>
      <c r="FU48" s="734"/>
      <c r="FV48" s="734"/>
      <c r="FW48" s="734"/>
      <c r="FX48" s="734"/>
      <c r="FY48" s="734"/>
      <c r="FZ48" s="734"/>
      <c r="GA48" s="734"/>
      <c r="GB48" s="734"/>
      <c r="GC48" s="734"/>
      <c r="GD48" s="734"/>
      <c r="GE48" s="734"/>
      <c r="GF48" s="734"/>
      <c r="GG48" s="734"/>
      <c r="GH48" s="734"/>
      <c r="GI48" s="734"/>
      <c r="GJ48" s="734"/>
      <c r="GK48" s="734"/>
      <c r="GL48" s="734"/>
      <c r="GM48" s="734"/>
      <c r="GN48" s="734"/>
      <c r="GO48" s="734"/>
      <c r="GP48" s="734"/>
      <c r="GQ48" s="734"/>
      <c r="GR48" s="734"/>
      <c r="GS48" s="734"/>
      <c r="GT48" s="734"/>
      <c r="GU48" s="734"/>
      <c r="GV48" s="734"/>
      <c r="GW48" s="734"/>
      <c r="GX48" s="734"/>
      <c r="GY48" s="734"/>
      <c r="GZ48" s="734"/>
      <c r="HA48" s="734"/>
      <c r="HB48" s="734"/>
      <c r="HC48" s="734"/>
      <c r="HD48" s="734"/>
      <c r="HE48" s="734"/>
      <c r="HF48" s="734"/>
      <c r="HG48" s="734"/>
      <c r="HH48" s="734"/>
      <c r="HI48" s="734"/>
      <c r="HJ48" s="734"/>
      <c r="HK48" s="734"/>
      <c r="HL48" s="734"/>
      <c r="HM48" s="734"/>
      <c r="HN48" s="734"/>
      <c r="HO48" s="734"/>
      <c r="HP48" s="734"/>
      <c r="HQ48" s="734"/>
      <c r="HR48" s="734"/>
      <c r="HS48" s="734"/>
      <c r="HT48" s="734"/>
      <c r="HU48" s="734"/>
      <c r="HV48" s="734"/>
      <c r="HW48" s="734"/>
      <c r="HX48" s="734"/>
      <c r="HY48" s="734"/>
      <c r="HZ48" s="734"/>
      <c r="IA48" s="734"/>
      <c r="IB48" s="734"/>
      <c r="IC48" s="734"/>
      <c r="ID48" s="734"/>
      <c r="IE48" s="734"/>
      <c r="IF48" s="734"/>
      <c r="IG48" s="734"/>
      <c r="IH48" s="734"/>
      <c r="II48" s="734"/>
      <c r="IJ48" s="734"/>
      <c r="IK48" s="734"/>
      <c r="IL48" s="734"/>
      <c r="IM48" s="734"/>
      <c r="IN48" s="734"/>
      <c r="IO48" s="734"/>
      <c r="IP48" s="734"/>
      <c r="IQ48" s="734"/>
      <c r="IR48" s="734"/>
      <c r="IS48" s="734"/>
      <c r="IT48" s="734"/>
      <c r="IU48" s="734"/>
      <c r="IV48" s="734"/>
    </row>
    <row r="49" spans="1:18" s="734" customFormat="1" ht="19.5" customHeight="1">
      <c r="A49" s="1139"/>
      <c r="B49" s="1139"/>
      <c r="C49" s="1182" t="s">
        <v>47</v>
      </c>
      <c r="D49" s="1183">
        <v>160000</v>
      </c>
      <c r="E49" s="1183">
        <v>160000</v>
      </c>
      <c r="F49" s="1183">
        <v>160000</v>
      </c>
      <c r="G49" s="1184">
        <f t="shared" si="3"/>
        <v>1</v>
      </c>
      <c r="H49" s="1183" t="s">
        <v>46</v>
      </c>
      <c r="I49" s="297"/>
      <c r="J49" s="297"/>
      <c r="K49" s="297"/>
      <c r="L49" s="297"/>
      <c r="M49" s="297"/>
      <c r="N49" s="297"/>
      <c r="O49" s="297"/>
      <c r="P49" s="297"/>
      <c r="Q49" s="297"/>
      <c r="R49" s="297"/>
    </row>
    <row r="50" spans="1:18" s="694" customFormat="1" ht="18.75" customHeight="1">
      <c r="A50" s="1139"/>
      <c r="B50" s="1139"/>
      <c r="C50" s="658" t="s">
        <v>48</v>
      </c>
      <c r="D50" s="1438">
        <v>110000</v>
      </c>
      <c r="E50" s="1438">
        <v>110000</v>
      </c>
      <c r="F50" s="1438">
        <v>110000</v>
      </c>
      <c r="G50" s="1439">
        <f t="shared" si="3"/>
        <v>1</v>
      </c>
      <c r="H50" s="1438" t="s">
        <v>46</v>
      </c>
      <c r="I50"/>
      <c r="J50"/>
      <c r="K50"/>
      <c r="L50"/>
      <c r="M50"/>
      <c r="N50"/>
      <c r="O50"/>
      <c r="P50"/>
      <c r="Q50"/>
      <c r="R50"/>
    </row>
    <row r="51" spans="1:18" s="694" customFormat="1" ht="18.75" customHeight="1">
      <c r="A51" s="1169"/>
      <c r="B51" s="1169"/>
      <c r="C51" s="630" t="s">
        <v>49</v>
      </c>
      <c r="D51" s="1319">
        <v>30000</v>
      </c>
      <c r="E51" s="1319">
        <v>30000</v>
      </c>
      <c r="F51" s="1319">
        <v>27600</v>
      </c>
      <c r="G51" s="1449">
        <f t="shared" si="3"/>
        <v>0.92</v>
      </c>
      <c r="H51" s="1319" t="s">
        <v>46</v>
      </c>
      <c r="I51"/>
      <c r="J51"/>
      <c r="K51"/>
      <c r="L51"/>
      <c r="M51"/>
      <c r="N51"/>
      <c r="O51"/>
      <c r="P51"/>
      <c r="Q51"/>
      <c r="R51"/>
    </row>
    <row r="52" spans="1:18" s="694" customFormat="1" ht="21" customHeight="1">
      <c r="A52" s="1147">
        <v>926</v>
      </c>
      <c r="B52" s="1147"/>
      <c r="C52" s="176" t="s">
        <v>446</v>
      </c>
      <c r="D52" s="396">
        <f>D53+D55</f>
        <v>925000</v>
      </c>
      <c r="E52" s="396">
        <f>E53+E55</f>
        <v>925000</v>
      </c>
      <c r="F52" s="396">
        <f>F53+F55</f>
        <v>915500</v>
      </c>
      <c r="G52" s="397">
        <f t="shared" si="3"/>
        <v>0.9897297297297297</v>
      </c>
      <c r="H52" s="176"/>
      <c r="I52"/>
      <c r="J52"/>
      <c r="K52"/>
      <c r="L52"/>
      <c r="M52"/>
      <c r="N52"/>
      <c r="O52"/>
      <c r="P52"/>
      <c r="Q52"/>
      <c r="R52"/>
    </row>
    <row r="53" spans="1:18" s="694" customFormat="1" ht="21.75" customHeight="1">
      <c r="A53" s="1139"/>
      <c r="B53" s="1223">
        <v>92601</v>
      </c>
      <c r="C53" s="1223" t="s">
        <v>447</v>
      </c>
      <c r="D53" s="1225">
        <f>D54</f>
        <v>245000</v>
      </c>
      <c r="E53" s="1225">
        <f>E54</f>
        <v>206000</v>
      </c>
      <c r="F53" s="1225">
        <f>F54</f>
        <v>206000</v>
      </c>
      <c r="G53" s="1226">
        <f t="shared" si="3"/>
        <v>1</v>
      </c>
      <c r="H53" s="1223"/>
      <c r="I53"/>
      <c r="J53"/>
      <c r="K53"/>
      <c r="L53"/>
      <c r="M53"/>
      <c r="N53"/>
      <c r="O53"/>
      <c r="P53"/>
      <c r="Q53"/>
      <c r="R53"/>
    </row>
    <row r="54" spans="1:18" s="694" customFormat="1" ht="18.75" customHeight="1">
      <c r="A54" s="1139"/>
      <c r="B54" s="1207"/>
      <c r="C54" s="1207" t="s">
        <v>779</v>
      </c>
      <c r="D54" s="1208">
        <v>245000</v>
      </c>
      <c r="E54" s="1208">
        <v>206000</v>
      </c>
      <c r="F54" s="1208">
        <v>206000</v>
      </c>
      <c r="G54" s="1227">
        <f t="shared" si="3"/>
        <v>1</v>
      </c>
      <c r="H54" s="1207" t="s">
        <v>50</v>
      </c>
      <c r="I54"/>
      <c r="J54"/>
      <c r="K54"/>
      <c r="L54"/>
      <c r="M54"/>
      <c r="N54"/>
      <c r="O54"/>
      <c r="P54"/>
      <c r="Q54"/>
      <c r="R54"/>
    </row>
    <row r="55" spans="1:18" s="694" customFormat="1" ht="19.5" customHeight="1">
      <c r="A55" s="1139"/>
      <c r="B55" s="1223">
        <v>92605</v>
      </c>
      <c r="C55" s="399" t="s">
        <v>782</v>
      </c>
      <c r="D55" s="1225">
        <f>D56</f>
        <v>680000</v>
      </c>
      <c r="E55" s="1225">
        <f>E56</f>
        <v>719000</v>
      </c>
      <c r="F55" s="1225">
        <f>F56</f>
        <v>709500</v>
      </c>
      <c r="G55" s="1226">
        <f t="shared" si="3"/>
        <v>0.9867872044506258</v>
      </c>
      <c r="H55" s="1223"/>
      <c r="I55"/>
      <c r="J55"/>
      <c r="K55"/>
      <c r="L55"/>
      <c r="M55"/>
      <c r="N55"/>
      <c r="O55"/>
      <c r="P55"/>
      <c r="Q55"/>
      <c r="R55"/>
    </row>
    <row r="56" spans="1:18" s="694" customFormat="1" ht="18" customHeight="1">
      <c r="A56" s="1169"/>
      <c r="B56" s="1207"/>
      <c r="C56" s="1207" t="s">
        <v>51</v>
      </c>
      <c r="D56" s="1208">
        <v>680000</v>
      </c>
      <c r="E56" s="1208">
        <v>719000</v>
      </c>
      <c r="F56" s="1208">
        <v>709500</v>
      </c>
      <c r="G56" s="1227">
        <f t="shared" si="3"/>
        <v>0.9867872044506258</v>
      </c>
      <c r="H56" s="367" t="s">
        <v>52</v>
      </c>
      <c r="I56"/>
      <c r="J56"/>
      <c r="K56"/>
      <c r="L56"/>
      <c r="M56"/>
      <c r="N56"/>
      <c r="O56"/>
      <c r="P56"/>
      <c r="Q56"/>
      <c r="R56"/>
    </row>
    <row r="59" ht="12.75">
      <c r="G59" s="1980" t="s">
        <v>449</v>
      </c>
    </row>
    <row r="60" ht="12.75">
      <c r="G60" s="1980" t="s">
        <v>450</v>
      </c>
    </row>
    <row r="61" ht="12.75">
      <c r="G61" s="1980" t="s">
        <v>451</v>
      </c>
    </row>
  </sheetData>
  <printOptions horizontalCentered="1"/>
  <pageMargins left="0.5905511811023623" right="0.5905511811023623" top="0.6692913385826772" bottom="0.7086614173228347" header="0.5118110236220472" footer="0.3937007874015748"/>
  <pageSetup firstPageNumber="58" useFirstPageNumber="1" horizontalDpi="600" verticalDpi="600" orientation="landscape" paperSize="9" scale="8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6"/>
  <sheetViews>
    <sheetView zoomScale="75" zoomScaleNormal="75" workbookViewId="0" topLeftCell="A1">
      <selection activeCell="G74" sqref="G74:G76"/>
    </sheetView>
  </sheetViews>
  <sheetFormatPr defaultColWidth="9.00390625" defaultRowHeight="12.75"/>
  <cols>
    <col min="1" max="1" width="6.75390625" style="0" customWidth="1"/>
    <col min="2" max="2" width="7.625" style="0" customWidth="1"/>
    <col min="3" max="3" width="47.00390625" style="0" customWidth="1"/>
    <col min="4" max="4" width="12.875" style="0" customWidth="1"/>
    <col min="5" max="5" width="13.125" style="0" customWidth="1"/>
    <col min="6" max="6" width="11.125" style="0" customWidth="1"/>
    <col min="7" max="7" width="9.75390625" style="0" customWidth="1"/>
    <col min="8" max="8" width="52.875" style="0" customWidth="1"/>
  </cols>
  <sheetData>
    <row r="1" ht="16.5" customHeight="1">
      <c r="H1" s="869" t="s">
        <v>53</v>
      </c>
    </row>
    <row r="2" spans="5:8" ht="16.5" customHeight="1">
      <c r="E2" s="11"/>
      <c r="F2" s="11"/>
      <c r="G2" s="11"/>
      <c r="H2" s="3" t="s">
        <v>980</v>
      </c>
    </row>
    <row r="3" spans="1:13" s="676" customFormat="1" ht="18" customHeight="1">
      <c r="A3" s="680" t="s">
        <v>54</v>
      </c>
      <c r="H3" s="11" t="s">
        <v>981</v>
      </c>
      <c r="I3"/>
      <c r="J3"/>
      <c r="K3"/>
      <c r="L3"/>
      <c r="M3"/>
    </row>
    <row r="4" spans="1:13" s="676" customFormat="1" ht="18" customHeight="1">
      <c r="A4" s="680" t="s">
        <v>55</v>
      </c>
      <c r="H4" s="11" t="s">
        <v>982</v>
      </c>
      <c r="I4"/>
      <c r="J4"/>
      <c r="K4"/>
      <c r="L4"/>
      <c r="M4"/>
    </row>
    <row r="5" ht="19.5" customHeight="1" thickBot="1">
      <c r="H5" s="1452" t="s">
        <v>56</v>
      </c>
    </row>
    <row r="6" spans="1:13" s="694" customFormat="1" ht="72" customHeight="1" thickBot="1" thickTop="1">
      <c r="A6" s="883" t="s">
        <v>303</v>
      </c>
      <c r="B6" s="1133" t="s">
        <v>607</v>
      </c>
      <c r="C6" s="1133" t="s">
        <v>1</v>
      </c>
      <c r="D6" s="1135" t="s">
        <v>57</v>
      </c>
      <c r="E6" s="1135" t="s">
        <v>58</v>
      </c>
      <c r="F6" s="1135" t="s">
        <v>59</v>
      </c>
      <c r="G6" s="1135" t="s">
        <v>60</v>
      </c>
      <c r="H6" s="1135" t="s">
        <v>6</v>
      </c>
      <c r="I6"/>
      <c r="J6"/>
      <c r="K6"/>
      <c r="L6"/>
      <c r="M6"/>
    </row>
    <row r="7" spans="1:13" s="694" customFormat="1" ht="14.25" thickBot="1" thickTop="1">
      <c r="A7" s="686">
        <v>1</v>
      </c>
      <c r="B7" s="686">
        <v>2</v>
      </c>
      <c r="C7" s="686">
        <v>3</v>
      </c>
      <c r="D7" s="686">
        <v>4</v>
      </c>
      <c r="E7" s="686">
        <v>5</v>
      </c>
      <c r="F7" s="686">
        <v>6</v>
      </c>
      <c r="G7" s="686">
        <v>7</v>
      </c>
      <c r="H7" s="686">
        <v>8</v>
      </c>
      <c r="I7"/>
      <c r="J7"/>
      <c r="K7"/>
      <c r="L7"/>
      <c r="M7"/>
    </row>
    <row r="8" spans="1:13" s="714" customFormat="1" ht="18.75" customHeight="1" thickBot="1" thickTop="1">
      <c r="A8" s="1453"/>
      <c r="B8" s="1453"/>
      <c r="C8" s="1454" t="s">
        <v>831</v>
      </c>
      <c r="D8" s="1455">
        <f>D10+D60+D67</f>
        <v>21158000</v>
      </c>
      <c r="E8" s="1455">
        <f>E10+E60+E67</f>
        <v>21909141</v>
      </c>
      <c r="F8" s="1455">
        <f>F10+F60+F67</f>
        <v>20910697</v>
      </c>
      <c r="G8" s="1456">
        <f>F8/E8</f>
        <v>0.9544279714115674</v>
      </c>
      <c r="H8" s="1457"/>
      <c r="I8"/>
      <c r="J8"/>
      <c r="K8"/>
      <c r="L8"/>
      <c r="M8"/>
    </row>
    <row r="9" spans="1:13" s="694" customFormat="1" ht="10.5" customHeight="1">
      <c r="A9" s="696"/>
      <c r="B9" s="696"/>
      <c r="C9" s="697" t="s">
        <v>308</v>
      </c>
      <c r="D9" s="696"/>
      <c r="E9" s="696"/>
      <c r="F9" s="696"/>
      <c r="G9" s="1458"/>
      <c r="H9" s="696"/>
      <c r="I9"/>
      <c r="J9"/>
      <c r="K9"/>
      <c r="L9"/>
      <c r="M9"/>
    </row>
    <row r="10" spans="1:13" s="694" customFormat="1" ht="19.5" customHeight="1" thickBot="1">
      <c r="A10" s="1139"/>
      <c r="B10" s="1139"/>
      <c r="C10" s="376" t="s">
        <v>960</v>
      </c>
      <c r="D10" s="598">
        <f>D11+D26+D35+D45+D53</f>
        <v>19298000</v>
      </c>
      <c r="E10" s="598">
        <f>E11+E26+E35+E45+E53</f>
        <v>19863419</v>
      </c>
      <c r="F10" s="598">
        <f>F11+F26+F35+F45+F53</f>
        <v>18864975</v>
      </c>
      <c r="G10" s="599">
        <f aca="true" t="shared" si="0" ref="G10:G23">F10/E10</f>
        <v>0.9497345346236717</v>
      </c>
      <c r="H10" s="596"/>
      <c r="I10"/>
      <c r="J10"/>
      <c r="K10"/>
      <c r="L10"/>
      <c r="M10"/>
    </row>
    <row r="11" spans="1:13" s="694" customFormat="1" ht="19.5" customHeight="1" thickTop="1">
      <c r="A11" s="1204">
        <v>801</v>
      </c>
      <c r="B11" s="1204"/>
      <c r="C11" s="59" t="s">
        <v>386</v>
      </c>
      <c r="D11" s="1148">
        <f>D12+D14+D16+D18+D20</f>
        <v>10300000</v>
      </c>
      <c r="E11" s="1148">
        <f>E12+E14+E16+E18+E20+E22</f>
        <v>10513644</v>
      </c>
      <c r="F11" s="1148">
        <f>F12+F14+F16+F18+F20+F22</f>
        <v>9872273</v>
      </c>
      <c r="G11" s="1149">
        <f t="shared" si="0"/>
        <v>0.9389963175469894</v>
      </c>
      <c r="H11" s="59"/>
      <c r="I11"/>
      <c r="J11"/>
      <c r="K11"/>
      <c r="L11"/>
      <c r="M11"/>
    </row>
    <row r="12" spans="1:13" s="714" customFormat="1" ht="19.5" customHeight="1">
      <c r="A12" s="662"/>
      <c r="B12" s="1223">
        <v>80101</v>
      </c>
      <c r="C12" s="399" t="s">
        <v>387</v>
      </c>
      <c r="D12" s="1225">
        <f>D13</f>
        <v>1000000</v>
      </c>
      <c r="E12" s="1225">
        <f>E13</f>
        <v>901850</v>
      </c>
      <c r="F12" s="1225">
        <f>F13</f>
        <v>823854</v>
      </c>
      <c r="G12" s="1226">
        <f t="shared" si="0"/>
        <v>0.9135155513666352</v>
      </c>
      <c r="H12" s="1223"/>
      <c r="I12"/>
      <c r="J12"/>
      <c r="K12"/>
      <c r="L12"/>
      <c r="M12"/>
    </row>
    <row r="13" spans="1:13" s="694" customFormat="1" ht="25.5">
      <c r="A13" s="1139"/>
      <c r="B13" s="1207"/>
      <c r="C13" s="367" t="s">
        <v>675</v>
      </c>
      <c r="D13" s="1208">
        <v>1000000</v>
      </c>
      <c r="E13" s="1208">
        <v>901850</v>
      </c>
      <c r="F13" s="1208">
        <v>823854</v>
      </c>
      <c r="G13" s="1227">
        <f t="shared" si="0"/>
        <v>0.9135155513666352</v>
      </c>
      <c r="H13" s="367" t="s">
        <v>61</v>
      </c>
      <c r="I13"/>
      <c r="J13"/>
      <c r="K13"/>
      <c r="L13"/>
      <c r="M13"/>
    </row>
    <row r="14" spans="1:13" s="694" customFormat="1" ht="19.5" customHeight="1">
      <c r="A14" s="1139"/>
      <c r="B14" s="663">
        <v>80110</v>
      </c>
      <c r="C14" s="609" t="s">
        <v>391</v>
      </c>
      <c r="D14" s="365">
        <f>D15</f>
        <v>1700000</v>
      </c>
      <c r="E14" s="365">
        <f>E15</f>
        <v>2053782</v>
      </c>
      <c r="F14" s="365">
        <f>F15</f>
        <v>1940656</v>
      </c>
      <c r="G14" s="366">
        <f t="shared" si="0"/>
        <v>0.9449182045611462</v>
      </c>
      <c r="H14" s="609"/>
      <c r="I14"/>
      <c r="J14"/>
      <c r="K14"/>
      <c r="L14"/>
      <c r="M14"/>
    </row>
    <row r="15" spans="1:13" s="694" customFormat="1" ht="24.75" customHeight="1">
      <c r="A15" s="1139"/>
      <c r="B15" s="1139"/>
      <c r="C15" s="347" t="s">
        <v>62</v>
      </c>
      <c r="D15" s="1450">
        <v>1700000</v>
      </c>
      <c r="E15" s="1450">
        <v>2053782</v>
      </c>
      <c r="F15" s="1450">
        <v>1940656</v>
      </c>
      <c r="G15" s="1451">
        <f t="shared" si="0"/>
        <v>0.9449182045611462</v>
      </c>
      <c r="H15" s="347" t="s">
        <v>63</v>
      </c>
      <c r="I15"/>
      <c r="J15"/>
      <c r="K15"/>
      <c r="L15"/>
      <c r="M15"/>
    </row>
    <row r="16" spans="1:13" s="714" customFormat="1" ht="19.5" customHeight="1">
      <c r="A16" s="662"/>
      <c r="B16" s="1223">
        <v>80120</v>
      </c>
      <c r="C16" s="1223" t="s">
        <v>511</v>
      </c>
      <c r="D16" s="1225">
        <f>D17</f>
        <v>4100000</v>
      </c>
      <c r="E16" s="1225">
        <f>E17</f>
        <v>3746644</v>
      </c>
      <c r="F16" s="1225">
        <f>F17</f>
        <v>3572118</v>
      </c>
      <c r="G16" s="1226">
        <f t="shared" si="0"/>
        <v>0.9534180455895996</v>
      </c>
      <c r="H16" s="1223"/>
      <c r="I16"/>
      <c r="J16"/>
      <c r="K16"/>
      <c r="L16"/>
      <c r="M16"/>
    </row>
    <row r="17" spans="1:13" s="694" customFormat="1" ht="26.25" customHeight="1">
      <c r="A17" s="1139"/>
      <c r="B17" s="1430"/>
      <c r="C17" s="367" t="s">
        <v>679</v>
      </c>
      <c r="D17" s="1208">
        <v>4100000</v>
      </c>
      <c r="E17" s="1208">
        <v>3746644</v>
      </c>
      <c r="F17" s="1459">
        <v>3572118</v>
      </c>
      <c r="G17" s="1460">
        <f t="shared" si="0"/>
        <v>0.9534180455895996</v>
      </c>
      <c r="H17" s="347" t="s">
        <v>64</v>
      </c>
      <c r="I17"/>
      <c r="J17"/>
      <c r="K17"/>
      <c r="L17"/>
      <c r="M17"/>
    </row>
    <row r="18" spans="1:8" s="714" customFormat="1" ht="19.5" customHeight="1">
      <c r="A18" s="662"/>
      <c r="B18" s="1461">
        <v>80123</v>
      </c>
      <c r="C18" s="399" t="s">
        <v>513</v>
      </c>
      <c r="D18" s="1225">
        <f>D19</f>
        <v>200000</v>
      </c>
      <c r="E18" s="1225">
        <f>E19</f>
        <v>334789</v>
      </c>
      <c r="F18" s="1225">
        <f>F19</f>
        <v>329129</v>
      </c>
      <c r="G18" s="1226">
        <f t="shared" si="0"/>
        <v>0.9830938292476754</v>
      </c>
      <c r="H18" s="1462"/>
    </row>
    <row r="19" spans="1:13" s="694" customFormat="1" ht="26.25" customHeight="1">
      <c r="A19" s="1139"/>
      <c r="B19" s="1430"/>
      <c r="C19" s="367" t="s">
        <v>680</v>
      </c>
      <c r="D19" s="1208">
        <v>200000</v>
      </c>
      <c r="E19" s="1208">
        <v>334789</v>
      </c>
      <c r="F19" s="1459">
        <v>329129</v>
      </c>
      <c r="G19" s="1460">
        <f t="shared" si="0"/>
        <v>0.9830938292476754</v>
      </c>
      <c r="H19" s="347" t="s">
        <v>65</v>
      </c>
      <c r="I19"/>
      <c r="J19"/>
      <c r="K19"/>
      <c r="L19"/>
      <c r="M19"/>
    </row>
    <row r="20" spans="1:13" s="694" customFormat="1" ht="19.5" customHeight="1">
      <c r="A20" s="1139"/>
      <c r="B20" s="1223">
        <v>80130</v>
      </c>
      <c r="C20" s="1223" t="s">
        <v>514</v>
      </c>
      <c r="D20" s="1225">
        <f>D21</f>
        <v>3300000</v>
      </c>
      <c r="E20" s="1225">
        <f>E21</f>
        <v>3473281</v>
      </c>
      <c r="F20" s="1225">
        <f>F21</f>
        <v>3203218</v>
      </c>
      <c r="G20" s="1226">
        <f t="shared" si="0"/>
        <v>0.9222455655042019</v>
      </c>
      <c r="H20" s="1223"/>
      <c r="I20"/>
      <c r="J20"/>
      <c r="K20"/>
      <c r="L20"/>
      <c r="M20"/>
    </row>
    <row r="21" spans="1:13" s="694" customFormat="1" ht="25.5">
      <c r="A21" s="1139"/>
      <c r="B21" s="1207"/>
      <c r="C21" s="367" t="s">
        <v>66</v>
      </c>
      <c r="D21" s="1208">
        <v>3300000</v>
      </c>
      <c r="E21" s="1208">
        <v>3473281</v>
      </c>
      <c r="F21" s="1208">
        <v>3203218</v>
      </c>
      <c r="G21" s="1227">
        <f t="shared" si="0"/>
        <v>0.9222455655042019</v>
      </c>
      <c r="H21" s="367" t="s">
        <v>67</v>
      </c>
      <c r="I21"/>
      <c r="J21"/>
      <c r="K21"/>
      <c r="L21"/>
      <c r="M21"/>
    </row>
    <row r="22" spans="1:8" s="714" customFormat="1" ht="19.5" customHeight="1">
      <c r="A22" s="662"/>
      <c r="B22" s="663">
        <v>80195</v>
      </c>
      <c r="C22" s="609" t="s">
        <v>314</v>
      </c>
      <c r="D22" s="1150"/>
      <c r="E22" s="1150">
        <f>SUM(E23)</f>
        <v>3298</v>
      </c>
      <c r="F22" s="1150">
        <f>SUM(F23)</f>
        <v>3298</v>
      </c>
      <c r="G22" s="1226">
        <f t="shared" si="0"/>
        <v>1</v>
      </c>
      <c r="H22" s="609"/>
    </row>
    <row r="23" spans="1:13" s="694" customFormat="1" ht="39.75" customHeight="1">
      <c r="A23" s="1139"/>
      <c r="B23" s="1139"/>
      <c r="C23" s="1182" t="s">
        <v>68</v>
      </c>
      <c r="D23" s="1183"/>
      <c r="E23" s="1183">
        <v>3298</v>
      </c>
      <c r="F23" s="1183">
        <v>3298</v>
      </c>
      <c r="G23" s="1460">
        <f t="shared" si="0"/>
        <v>1</v>
      </c>
      <c r="H23" s="1182" t="s">
        <v>69</v>
      </c>
      <c r="I23"/>
      <c r="J23"/>
      <c r="K23"/>
      <c r="L23"/>
      <c r="M23"/>
    </row>
    <row r="24" spans="3:13" s="897" customFormat="1" ht="33.75" customHeight="1">
      <c r="C24" s="1442"/>
      <c r="D24" s="1440"/>
      <c r="E24" s="1440"/>
      <c r="F24" s="1440"/>
      <c r="G24" s="1441"/>
      <c r="H24" s="1442"/>
      <c r="I24" s="1443"/>
      <c r="J24" s="1443"/>
      <c r="K24" s="1443"/>
      <c r="L24" s="1443"/>
      <c r="M24" s="1443"/>
    </row>
    <row r="25" spans="3:13" s="734" customFormat="1" ht="34.5" customHeight="1">
      <c r="C25" s="1463"/>
      <c r="D25" s="900"/>
      <c r="E25" s="900"/>
      <c r="F25" s="900"/>
      <c r="G25" s="1464"/>
      <c r="H25" s="1463"/>
      <c r="I25" s="297"/>
      <c r="J25" s="297"/>
      <c r="K25" s="297"/>
      <c r="L25" s="297"/>
      <c r="M25" s="297"/>
    </row>
    <row r="26" spans="1:13" s="694" customFormat="1" ht="19.5" customHeight="1">
      <c r="A26" s="1147">
        <v>851</v>
      </c>
      <c r="B26" s="1147"/>
      <c r="C26" s="59" t="s">
        <v>393</v>
      </c>
      <c r="D26" s="420">
        <f>D27+D31+D33</f>
        <v>1568000</v>
      </c>
      <c r="E26" s="420">
        <f>E27+E31+E33</f>
        <v>1834000</v>
      </c>
      <c r="F26" s="420">
        <f>F27+F31+F33</f>
        <v>1772787</v>
      </c>
      <c r="G26" s="422">
        <f aca="true" t="shared" si="1" ref="G26:G47">F26/E26</f>
        <v>0.9666232279171211</v>
      </c>
      <c r="H26" s="420"/>
      <c r="I26"/>
      <c r="J26"/>
      <c r="K26"/>
      <c r="L26"/>
      <c r="M26"/>
    </row>
    <row r="27" spans="1:13" s="694" customFormat="1" ht="19.5" customHeight="1">
      <c r="A27" s="1139"/>
      <c r="B27" s="663">
        <v>85121</v>
      </c>
      <c r="C27" s="609" t="s">
        <v>692</v>
      </c>
      <c r="D27" s="365">
        <f>SUM(D28:D30)</f>
        <v>1450000</v>
      </c>
      <c r="E27" s="365">
        <f>SUM(E28:E30)</f>
        <v>1716000</v>
      </c>
      <c r="F27" s="365">
        <f>SUM(F28:F30)</f>
        <v>1686070</v>
      </c>
      <c r="G27" s="366">
        <f t="shared" si="1"/>
        <v>0.9825582750582751</v>
      </c>
      <c r="H27" s="1150"/>
      <c r="I27"/>
      <c r="J27"/>
      <c r="K27"/>
      <c r="L27"/>
      <c r="M27"/>
    </row>
    <row r="28" spans="1:13" s="694" customFormat="1" ht="17.25" customHeight="1">
      <c r="A28" s="1139"/>
      <c r="B28" s="662"/>
      <c r="C28" s="1965" t="s">
        <v>70</v>
      </c>
      <c r="D28" s="1465">
        <v>1100000</v>
      </c>
      <c r="E28" s="1465">
        <v>1100000</v>
      </c>
      <c r="F28" s="1465">
        <v>1100000</v>
      </c>
      <c r="G28" s="1466">
        <f t="shared" si="1"/>
        <v>1</v>
      </c>
      <c r="H28" s="1467" t="s">
        <v>71</v>
      </c>
      <c r="I28"/>
      <c r="J28"/>
      <c r="K28"/>
      <c r="L28"/>
      <c r="M28"/>
    </row>
    <row r="29" spans="1:13" s="694" customFormat="1" ht="19.5" customHeight="1">
      <c r="A29" s="1139"/>
      <c r="B29" s="1139"/>
      <c r="C29" s="1966"/>
      <c r="D29" s="1468">
        <v>300000</v>
      </c>
      <c r="E29" s="1468">
        <v>566000</v>
      </c>
      <c r="F29" s="1468">
        <v>565815</v>
      </c>
      <c r="G29" s="1469">
        <f t="shared" si="1"/>
        <v>0.9996731448763251</v>
      </c>
      <c r="H29" s="1468" t="s">
        <v>72</v>
      </c>
      <c r="I29"/>
      <c r="J29"/>
      <c r="K29"/>
      <c r="L29"/>
      <c r="M29"/>
    </row>
    <row r="30" spans="1:13" s="1436" customFormat="1" ht="24.75" customHeight="1">
      <c r="A30" s="1139"/>
      <c r="B30" s="1169"/>
      <c r="C30" s="1967"/>
      <c r="D30" s="1470">
        <v>50000</v>
      </c>
      <c r="E30" s="1470">
        <v>50000</v>
      </c>
      <c r="F30" s="1470">
        <v>20255</v>
      </c>
      <c r="G30" s="1471">
        <f t="shared" si="1"/>
        <v>0.4051</v>
      </c>
      <c r="H30" s="1472" t="s">
        <v>695</v>
      </c>
      <c r="I30" s="1473"/>
      <c r="J30" s="1473"/>
      <c r="K30" s="1473"/>
      <c r="L30" s="1473"/>
      <c r="M30" s="1473"/>
    </row>
    <row r="31" spans="1:8" s="714" customFormat="1" ht="21" customHeight="1">
      <c r="A31" s="662"/>
      <c r="B31" s="663">
        <v>85153</v>
      </c>
      <c r="C31" s="609" t="s">
        <v>697</v>
      </c>
      <c r="D31" s="342">
        <f>D32</f>
        <v>8000</v>
      </c>
      <c r="E31" s="342">
        <f>E32</f>
        <v>8000</v>
      </c>
      <c r="F31" s="342">
        <f>F32</f>
        <v>3270</v>
      </c>
      <c r="G31" s="343">
        <f t="shared" si="1"/>
        <v>0.40875</v>
      </c>
      <c r="H31" s="365"/>
    </row>
    <row r="32" spans="1:13" s="694" customFormat="1" ht="38.25" customHeight="1">
      <c r="A32" s="1139"/>
      <c r="B32" s="1169"/>
      <c r="C32" s="612" t="s">
        <v>73</v>
      </c>
      <c r="D32" s="1201">
        <v>8000</v>
      </c>
      <c r="E32" s="1201">
        <v>8000</v>
      </c>
      <c r="F32" s="1201">
        <v>3270</v>
      </c>
      <c r="G32" s="1202">
        <f t="shared" si="1"/>
        <v>0.40875</v>
      </c>
      <c r="H32" s="525" t="s">
        <v>74</v>
      </c>
      <c r="I32"/>
      <c r="J32"/>
      <c r="K32"/>
      <c r="L32"/>
      <c r="M32"/>
    </row>
    <row r="33" spans="1:13" s="714" customFormat="1" ht="21.75" customHeight="1">
      <c r="A33" s="662"/>
      <c r="B33" s="663">
        <v>85154</v>
      </c>
      <c r="C33" s="399" t="s">
        <v>699</v>
      </c>
      <c r="D33" s="1225">
        <f>D34</f>
        <v>110000</v>
      </c>
      <c r="E33" s="1225">
        <f>E34</f>
        <v>110000</v>
      </c>
      <c r="F33" s="1225">
        <f>F34</f>
        <v>83447</v>
      </c>
      <c r="G33" s="1226">
        <f t="shared" si="1"/>
        <v>0.7586090909090909</v>
      </c>
      <c r="H33" s="1223"/>
      <c r="I33"/>
      <c r="J33"/>
      <c r="K33"/>
      <c r="L33"/>
      <c r="M33"/>
    </row>
    <row r="34" spans="1:13" s="694" customFormat="1" ht="37.5" customHeight="1">
      <c r="A34" s="1139"/>
      <c r="B34" s="1139"/>
      <c r="C34" s="612" t="s">
        <v>73</v>
      </c>
      <c r="D34" s="1467">
        <v>110000</v>
      </c>
      <c r="E34" s="1467">
        <v>110000</v>
      </c>
      <c r="F34" s="1183">
        <v>83447</v>
      </c>
      <c r="G34" s="1184">
        <f t="shared" si="1"/>
        <v>0.7586090909090909</v>
      </c>
      <c r="H34" s="525" t="s">
        <v>74</v>
      </c>
      <c r="I34"/>
      <c r="J34"/>
      <c r="K34"/>
      <c r="L34"/>
      <c r="M34"/>
    </row>
    <row r="35" spans="1:13" s="694" customFormat="1" ht="21.75" customHeight="1">
      <c r="A35" s="1204">
        <v>853</v>
      </c>
      <c r="B35" s="1204"/>
      <c r="C35" s="176" t="s">
        <v>395</v>
      </c>
      <c r="D35" s="396">
        <f>D36+D40+D42</f>
        <v>2520000</v>
      </c>
      <c r="E35" s="396">
        <f>E36+E40+E42+E38</f>
        <v>2720200</v>
      </c>
      <c r="F35" s="396">
        <f>F36+F40+F42+F38</f>
        <v>2641900</v>
      </c>
      <c r="G35" s="397">
        <f t="shared" si="1"/>
        <v>0.9712153518123667</v>
      </c>
      <c r="H35" s="396"/>
      <c r="I35"/>
      <c r="J35"/>
      <c r="K35"/>
      <c r="L35"/>
      <c r="M35"/>
    </row>
    <row r="36" spans="1:13" s="714" customFormat="1" ht="19.5" customHeight="1">
      <c r="A36" s="662"/>
      <c r="B36" s="1223">
        <v>85301</v>
      </c>
      <c r="C36" s="1223" t="s">
        <v>75</v>
      </c>
      <c r="D36" s="1225">
        <f>D37</f>
        <v>1700000</v>
      </c>
      <c r="E36" s="1225">
        <f>E37</f>
        <v>1700000</v>
      </c>
      <c r="F36" s="1225">
        <f>F37</f>
        <v>1621700</v>
      </c>
      <c r="G36" s="1226">
        <f t="shared" si="1"/>
        <v>0.9539411764705882</v>
      </c>
      <c r="H36" s="1223"/>
      <c r="I36"/>
      <c r="J36"/>
      <c r="K36"/>
      <c r="L36"/>
      <c r="M36"/>
    </row>
    <row r="37" spans="1:13" s="714" customFormat="1" ht="39.75" customHeight="1">
      <c r="A37" s="662"/>
      <c r="B37" s="1223"/>
      <c r="C37" s="367" t="s">
        <v>704</v>
      </c>
      <c r="D37" s="1208">
        <v>1700000</v>
      </c>
      <c r="E37" s="1208">
        <v>1700000</v>
      </c>
      <c r="F37" s="1208">
        <v>1621700</v>
      </c>
      <c r="G37" s="1227">
        <f t="shared" si="1"/>
        <v>0.9539411764705882</v>
      </c>
      <c r="H37" s="367" t="s">
        <v>76</v>
      </c>
      <c r="I37"/>
      <c r="J37"/>
      <c r="K37"/>
      <c r="L37"/>
      <c r="M37"/>
    </row>
    <row r="38" spans="1:8" s="714" customFormat="1" ht="19.5" customHeight="1">
      <c r="A38" s="662"/>
      <c r="B38" s="663">
        <v>85302</v>
      </c>
      <c r="C38" s="609" t="s">
        <v>523</v>
      </c>
      <c r="D38" s="1150"/>
      <c r="E38" s="1150">
        <f>E39</f>
        <v>200200</v>
      </c>
      <c r="F38" s="1150">
        <f>F39</f>
        <v>200200</v>
      </c>
      <c r="G38" s="1226">
        <f t="shared" si="1"/>
        <v>1</v>
      </c>
      <c r="H38" s="399"/>
    </row>
    <row r="39" spans="1:13" s="714" customFormat="1" ht="28.5" customHeight="1">
      <c r="A39" s="662"/>
      <c r="B39" s="663"/>
      <c r="C39" s="353" t="s">
        <v>77</v>
      </c>
      <c r="D39" s="1190"/>
      <c r="E39" s="1190">
        <v>200200</v>
      </c>
      <c r="F39" s="1190">
        <v>200200</v>
      </c>
      <c r="G39" s="1227">
        <f t="shared" si="1"/>
        <v>1</v>
      </c>
      <c r="H39" s="367" t="s">
        <v>78</v>
      </c>
      <c r="I39"/>
      <c r="J39"/>
      <c r="K39"/>
      <c r="L39"/>
      <c r="M39"/>
    </row>
    <row r="40" spans="1:13" s="714" customFormat="1" ht="19.5" customHeight="1">
      <c r="A40" s="662"/>
      <c r="B40" s="663">
        <v>85303</v>
      </c>
      <c r="C40" s="609" t="s">
        <v>396</v>
      </c>
      <c r="D40" s="1150">
        <f>D41</f>
        <v>600000</v>
      </c>
      <c r="E40" s="1150">
        <f>E41</f>
        <v>600000</v>
      </c>
      <c r="F40" s="1150">
        <f>F41</f>
        <v>600000</v>
      </c>
      <c r="G40" s="1151">
        <f t="shared" si="1"/>
        <v>1</v>
      </c>
      <c r="H40" s="399"/>
      <c r="I40"/>
      <c r="J40"/>
      <c r="K40"/>
      <c r="L40"/>
      <c r="M40"/>
    </row>
    <row r="41" spans="1:13" s="714" customFormat="1" ht="26.25" customHeight="1">
      <c r="A41" s="662"/>
      <c r="B41" s="663"/>
      <c r="C41" s="353" t="s">
        <v>79</v>
      </c>
      <c r="D41" s="1190">
        <v>600000</v>
      </c>
      <c r="E41" s="1190">
        <v>600000</v>
      </c>
      <c r="F41" s="1190">
        <v>600000</v>
      </c>
      <c r="G41" s="1191">
        <f t="shared" si="1"/>
        <v>1</v>
      </c>
      <c r="H41" s="367" t="s">
        <v>80</v>
      </c>
      <c r="I41"/>
      <c r="J41"/>
      <c r="K41"/>
      <c r="L41"/>
      <c r="M41"/>
    </row>
    <row r="42" spans="1:13" s="714" customFormat="1" ht="19.5" customHeight="1">
      <c r="A42" s="662"/>
      <c r="B42" s="663">
        <v>85395</v>
      </c>
      <c r="C42" s="609" t="s">
        <v>314</v>
      </c>
      <c r="D42" s="1150">
        <f>SUM(D43:D44)</f>
        <v>220000</v>
      </c>
      <c r="E42" s="1150">
        <f>SUM(E43:E44)</f>
        <v>220000</v>
      </c>
      <c r="F42" s="1150">
        <f>SUM(F43:F44)</f>
        <v>220000</v>
      </c>
      <c r="G42" s="1151">
        <f t="shared" si="1"/>
        <v>1</v>
      </c>
      <c r="H42" s="399"/>
      <c r="I42"/>
      <c r="J42"/>
      <c r="K42"/>
      <c r="L42"/>
      <c r="M42"/>
    </row>
    <row r="43" spans="1:13" s="714" customFormat="1" ht="39" customHeight="1">
      <c r="A43" s="662"/>
      <c r="B43" s="662"/>
      <c r="C43" s="347" t="s">
        <v>81</v>
      </c>
      <c r="D43" s="1450">
        <v>180000</v>
      </c>
      <c r="E43" s="1450">
        <v>180000</v>
      </c>
      <c r="F43" s="1450">
        <v>180000</v>
      </c>
      <c r="G43" s="1451">
        <f t="shared" si="1"/>
        <v>1</v>
      </c>
      <c r="H43" s="347" t="s">
        <v>81</v>
      </c>
      <c r="I43"/>
      <c r="J43"/>
      <c r="K43"/>
      <c r="L43"/>
      <c r="M43"/>
    </row>
    <row r="44" spans="1:13" s="714" customFormat="1" ht="40.5" customHeight="1">
      <c r="A44" s="663"/>
      <c r="B44" s="663"/>
      <c r="C44" s="353" t="s">
        <v>82</v>
      </c>
      <c r="D44" s="1190">
        <v>40000</v>
      </c>
      <c r="E44" s="1190">
        <v>40000</v>
      </c>
      <c r="F44" s="1190">
        <v>40000</v>
      </c>
      <c r="G44" s="1191">
        <f t="shared" si="1"/>
        <v>1</v>
      </c>
      <c r="H44" s="353" t="s">
        <v>82</v>
      </c>
      <c r="I44"/>
      <c r="J44"/>
      <c r="K44"/>
      <c r="L44"/>
      <c r="M44"/>
    </row>
    <row r="45" spans="1:13" s="694" customFormat="1" ht="19.5" customHeight="1">
      <c r="A45" s="1147">
        <v>854</v>
      </c>
      <c r="B45" s="1147"/>
      <c r="C45" s="59" t="s">
        <v>408</v>
      </c>
      <c r="D45" s="420">
        <f>D46+D49+D51</f>
        <v>4250000</v>
      </c>
      <c r="E45" s="420">
        <f>E46+E49+E51</f>
        <v>4185575</v>
      </c>
      <c r="F45" s="420">
        <f>F46+F49+F51</f>
        <v>3968015</v>
      </c>
      <c r="G45" s="422">
        <f t="shared" si="1"/>
        <v>0.948021478530429</v>
      </c>
      <c r="H45" s="59"/>
      <c r="I45"/>
      <c r="J45"/>
      <c r="K45"/>
      <c r="L45"/>
      <c r="M45"/>
    </row>
    <row r="46" spans="1:13" s="694" customFormat="1" ht="19.5" customHeight="1">
      <c r="A46" s="1474"/>
      <c r="B46" s="1475">
        <v>85403</v>
      </c>
      <c r="C46" s="90" t="s">
        <v>529</v>
      </c>
      <c r="D46" s="1476">
        <f>D47</f>
        <v>550000</v>
      </c>
      <c r="E46" s="1476">
        <f>E47</f>
        <v>575040</v>
      </c>
      <c r="F46" s="1476">
        <f>F47</f>
        <v>527120</v>
      </c>
      <c r="G46" s="1477">
        <f t="shared" si="1"/>
        <v>0.9166666666666666</v>
      </c>
      <c r="H46" s="90"/>
      <c r="I46"/>
      <c r="J46"/>
      <c r="K46"/>
      <c r="L46"/>
      <c r="M46"/>
    </row>
    <row r="47" spans="1:13" s="734" customFormat="1" ht="37.5" customHeight="1">
      <c r="A47" s="1478"/>
      <c r="B47" s="1479"/>
      <c r="C47" s="313" t="s">
        <v>83</v>
      </c>
      <c r="D47" s="577">
        <v>550000</v>
      </c>
      <c r="E47" s="577">
        <v>575040</v>
      </c>
      <c r="F47" s="577">
        <v>527120</v>
      </c>
      <c r="G47" s="578">
        <f t="shared" si="1"/>
        <v>0.9166666666666666</v>
      </c>
      <c r="H47" s="313" t="s">
        <v>84</v>
      </c>
      <c r="I47"/>
      <c r="J47"/>
      <c r="K47"/>
      <c r="L47"/>
      <c r="M47"/>
    </row>
    <row r="48" spans="1:13" s="897" customFormat="1" ht="22.5" customHeight="1">
      <c r="A48" s="1480"/>
      <c r="B48" s="1480"/>
      <c r="C48" s="285"/>
      <c r="D48" s="1481"/>
      <c r="E48" s="1481"/>
      <c r="F48" s="1481"/>
      <c r="G48" s="1482"/>
      <c r="H48" s="285"/>
      <c r="I48" s="1443"/>
      <c r="J48" s="1443"/>
      <c r="K48" s="1443"/>
      <c r="L48" s="1443"/>
      <c r="M48" s="1443"/>
    </row>
    <row r="49" spans="1:13" s="694" customFormat="1" ht="19.5" customHeight="1">
      <c r="A49" s="1474"/>
      <c r="B49" s="1483">
        <v>85404</v>
      </c>
      <c r="C49" s="79" t="s">
        <v>919</v>
      </c>
      <c r="D49" s="1195">
        <f>D50</f>
        <v>3200000</v>
      </c>
      <c r="E49" s="1195">
        <f>E50</f>
        <v>3064265</v>
      </c>
      <c r="F49" s="1195">
        <f>F50</f>
        <v>2912310</v>
      </c>
      <c r="G49" s="1192">
        <f aca="true" t="shared" si="2" ref="G49:G58">F49/E49</f>
        <v>0.9504106204913739</v>
      </c>
      <c r="H49" s="79"/>
      <c r="I49"/>
      <c r="J49"/>
      <c r="K49"/>
      <c r="L49"/>
      <c r="M49"/>
    </row>
    <row r="50" spans="1:13" s="694" customFormat="1" ht="25.5">
      <c r="A50" s="1478"/>
      <c r="B50" s="1484"/>
      <c r="C50" s="71" t="s">
        <v>85</v>
      </c>
      <c r="D50" s="573">
        <v>3200000</v>
      </c>
      <c r="E50" s="573">
        <v>3064265</v>
      </c>
      <c r="F50" s="573">
        <v>2912310</v>
      </c>
      <c r="G50" s="574">
        <f t="shared" si="2"/>
        <v>0.9504106204913739</v>
      </c>
      <c r="H50" s="71" t="s">
        <v>86</v>
      </c>
      <c r="I50"/>
      <c r="J50"/>
      <c r="K50"/>
      <c r="L50"/>
      <c r="M50"/>
    </row>
    <row r="51" spans="1:13" s="714" customFormat="1" ht="19.5" customHeight="1">
      <c r="A51" s="662"/>
      <c r="B51" s="1223">
        <v>85410</v>
      </c>
      <c r="C51" s="399" t="s">
        <v>534</v>
      </c>
      <c r="D51" s="1225">
        <f>D52</f>
        <v>500000</v>
      </c>
      <c r="E51" s="1225">
        <f>E52</f>
        <v>546270</v>
      </c>
      <c r="F51" s="1225">
        <f>F52</f>
        <v>528585</v>
      </c>
      <c r="G51" s="1226">
        <f t="shared" si="2"/>
        <v>0.9676258992805755</v>
      </c>
      <c r="H51" s="1223"/>
      <c r="I51"/>
      <c r="J51"/>
      <c r="K51"/>
      <c r="L51"/>
      <c r="M51"/>
    </row>
    <row r="52" spans="1:13" s="694" customFormat="1" ht="28.5" customHeight="1">
      <c r="A52" s="1169"/>
      <c r="B52" s="1207"/>
      <c r="C52" s="367" t="s">
        <v>725</v>
      </c>
      <c r="D52" s="1208">
        <v>500000</v>
      </c>
      <c r="E52" s="1208">
        <v>546270</v>
      </c>
      <c r="F52" s="1208">
        <v>528585</v>
      </c>
      <c r="G52" s="1227">
        <f t="shared" si="2"/>
        <v>0.9676258992805755</v>
      </c>
      <c r="H52" s="367" t="s">
        <v>87</v>
      </c>
      <c r="I52"/>
      <c r="J52"/>
      <c r="K52"/>
      <c r="L52"/>
      <c r="M52"/>
    </row>
    <row r="53" spans="1:13" s="694" customFormat="1" ht="19.5" customHeight="1">
      <c r="A53" s="1147">
        <v>921</v>
      </c>
      <c r="B53" s="1147"/>
      <c r="C53" s="59" t="s">
        <v>573</v>
      </c>
      <c r="D53" s="420">
        <f>D54</f>
        <v>660000</v>
      </c>
      <c r="E53" s="420">
        <f>E54</f>
        <v>610000</v>
      </c>
      <c r="F53" s="420">
        <f>F54</f>
        <v>610000</v>
      </c>
      <c r="G53" s="422">
        <f t="shared" si="2"/>
        <v>1</v>
      </c>
      <c r="H53" s="59"/>
      <c r="I53"/>
      <c r="J53"/>
      <c r="K53"/>
      <c r="L53"/>
      <c r="M53"/>
    </row>
    <row r="54" spans="1:13" s="714" customFormat="1" ht="19.5" customHeight="1">
      <c r="A54" s="662"/>
      <c r="B54" s="663">
        <v>92120</v>
      </c>
      <c r="C54" s="609" t="s">
        <v>775</v>
      </c>
      <c r="D54" s="1150">
        <f>SUM(D55:D59)</f>
        <v>660000</v>
      </c>
      <c r="E54" s="1150">
        <f>SUM(E55:E59)</f>
        <v>610000</v>
      </c>
      <c r="F54" s="1150">
        <f>SUM(F55:F59)</f>
        <v>610000</v>
      </c>
      <c r="G54" s="1151">
        <f t="shared" si="2"/>
        <v>1</v>
      </c>
      <c r="H54" s="399"/>
      <c r="I54"/>
      <c r="J54"/>
      <c r="K54"/>
      <c r="L54"/>
      <c r="M54"/>
    </row>
    <row r="55" spans="1:13" s="805" customFormat="1" ht="19.5" customHeight="1">
      <c r="A55" s="1474"/>
      <c r="B55" s="1485"/>
      <c r="C55" s="1414" t="s">
        <v>1003</v>
      </c>
      <c r="D55" s="1486">
        <v>440000</v>
      </c>
      <c r="E55" s="1486">
        <v>440000</v>
      </c>
      <c r="F55" s="1486">
        <v>440000</v>
      </c>
      <c r="G55" s="1487">
        <f t="shared" si="2"/>
        <v>1</v>
      </c>
      <c r="H55" s="93" t="s">
        <v>88</v>
      </c>
      <c r="I55" s="1488"/>
      <c r="J55" s="1488"/>
      <c r="K55" s="1488"/>
      <c r="L55" s="1488"/>
      <c r="M55" s="1488"/>
    </row>
    <row r="56" spans="1:13" s="805" customFormat="1" ht="19.5" customHeight="1">
      <c r="A56" s="1474"/>
      <c r="B56" s="1474"/>
      <c r="C56" s="1414" t="s">
        <v>1006</v>
      </c>
      <c r="D56" s="1489">
        <v>100000</v>
      </c>
      <c r="E56" s="1489">
        <v>100000</v>
      </c>
      <c r="F56" s="1489">
        <v>100000</v>
      </c>
      <c r="G56" s="1490">
        <f t="shared" si="2"/>
        <v>1</v>
      </c>
      <c r="H56" s="122" t="s">
        <v>88</v>
      </c>
      <c r="I56" s="1488"/>
      <c r="J56" s="1488"/>
      <c r="K56" s="1488"/>
      <c r="L56" s="1488"/>
      <c r="M56" s="1488"/>
    </row>
    <row r="57" spans="1:13" s="805" customFormat="1" ht="24" customHeight="1">
      <c r="A57" s="1474"/>
      <c r="B57" s="1474"/>
      <c r="C57" s="1491" t="s">
        <v>89</v>
      </c>
      <c r="D57" s="1492">
        <v>40000</v>
      </c>
      <c r="E57" s="1492">
        <v>40000</v>
      </c>
      <c r="F57" s="1492">
        <v>40000</v>
      </c>
      <c r="G57" s="1493">
        <f t="shared" si="2"/>
        <v>1</v>
      </c>
      <c r="H57" s="156" t="s">
        <v>88</v>
      </c>
      <c r="I57" s="1488"/>
      <c r="J57" s="1488"/>
      <c r="K57" s="1488"/>
      <c r="L57" s="1488"/>
      <c r="M57" s="1488"/>
    </row>
    <row r="58" spans="1:13" s="805" customFormat="1" ht="24" customHeight="1">
      <c r="A58" s="1474"/>
      <c r="B58" s="1474"/>
      <c r="C58" s="1414" t="s">
        <v>1005</v>
      </c>
      <c r="D58" s="1492">
        <v>30000</v>
      </c>
      <c r="E58" s="1492">
        <v>30000</v>
      </c>
      <c r="F58" s="1489">
        <v>30000</v>
      </c>
      <c r="G58" s="1490">
        <f t="shared" si="2"/>
        <v>1</v>
      </c>
      <c r="H58" s="122" t="s">
        <v>88</v>
      </c>
      <c r="I58" s="1488"/>
      <c r="J58" s="1488"/>
      <c r="K58" s="1488"/>
      <c r="L58" s="1488"/>
      <c r="M58" s="1488"/>
    </row>
    <row r="59" spans="1:13" s="805" customFormat="1" ht="18.75" customHeight="1">
      <c r="A59" s="1474"/>
      <c r="B59" s="1474"/>
      <c r="C59" s="1494" t="s">
        <v>940</v>
      </c>
      <c r="D59" s="309">
        <v>50000</v>
      </c>
      <c r="E59" s="309"/>
      <c r="F59" s="309"/>
      <c r="G59" s="310"/>
      <c r="H59" s="166" t="s">
        <v>90</v>
      </c>
      <c r="I59" s="1488"/>
      <c r="J59" s="1488"/>
      <c r="K59" s="1488"/>
      <c r="L59" s="1488"/>
      <c r="M59" s="1488"/>
    </row>
    <row r="60" spans="1:13" s="714" customFormat="1" ht="23.25" customHeight="1" thickBot="1">
      <c r="A60" s="663"/>
      <c r="B60" s="663"/>
      <c r="C60" s="596" t="s">
        <v>1009</v>
      </c>
      <c r="D60" s="1495">
        <f aca="true" t="shared" si="3" ref="D60:F61">D61</f>
        <v>276000</v>
      </c>
      <c r="E60" s="1495">
        <f t="shared" si="3"/>
        <v>397000</v>
      </c>
      <c r="F60" s="1495">
        <f t="shared" si="3"/>
        <v>397000</v>
      </c>
      <c r="G60" s="1496">
        <f aca="true" t="shared" si="4" ref="G60:G71">F60/E60</f>
        <v>1</v>
      </c>
      <c r="H60" s="1497"/>
      <c r="I60"/>
      <c r="J60"/>
      <c r="K60"/>
      <c r="L60"/>
      <c r="M60"/>
    </row>
    <row r="61" spans="1:13" s="694" customFormat="1" ht="19.5" customHeight="1" thickTop="1">
      <c r="A61" s="1147">
        <v>853</v>
      </c>
      <c r="B61" s="1147"/>
      <c r="C61" s="59" t="s">
        <v>395</v>
      </c>
      <c r="D61" s="420">
        <f t="shared" si="3"/>
        <v>276000</v>
      </c>
      <c r="E61" s="420">
        <f t="shared" si="3"/>
        <v>397000</v>
      </c>
      <c r="F61" s="420">
        <f t="shared" si="3"/>
        <v>397000</v>
      </c>
      <c r="G61" s="422">
        <f t="shared" si="4"/>
        <v>1</v>
      </c>
      <c r="H61" s="176"/>
      <c r="I61"/>
      <c r="J61"/>
      <c r="K61"/>
      <c r="L61"/>
      <c r="M61"/>
    </row>
    <row r="62" spans="1:13" s="714" customFormat="1" ht="19.5" customHeight="1">
      <c r="A62" s="662"/>
      <c r="B62" s="663">
        <v>85303</v>
      </c>
      <c r="C62" s="609" t="s">
        <v>396</v>
      </c>
      <c r="D62" s="1150">
        <f>SUM(D63:D64)</f>
        <v>276000</v>
      </c>
      <c r="E62" s="1150">
        <f>SUM(E63:E66)</f>
        <v>397000</v>
      </c>
      <c r="F62" s="1150">
        <f>SUM(F63:F66)</f>
        <v>397000</v>
      </c>
      <c r="G62" s="1151">
        <f t="shared" si="4"/>
        <v>1</v>
      </c>
      <c r="H62" s="399"/>
      <c r="I62"/>
      <c r="J62"/>
      <c r="K62"/>
      <c r="L62"/>
      <c r="M62"/>
    </row>
    <row r="63" spans="1:13" s="694" customFormat="1" ht="19.5" customHeight="1">
      <c r="A63" s="1139"/>
      <c r="B63" s="1139"/>
      <c r="C63" s="347" t="s">
        <v>91</v>
      </c>
      <c r="D63" s="1450">
        <v>270000</v>
      </c>
      <c r="E63" s="1450">
        <v>349000</v>
      </c>
      <c r="F63" s="1450">
        <v>349000</v>
      </c>
      <c r="G63" s="1451">
        <f t="shared" si="4"/>
        <v>1</v>
      </c>
      <c r="H63" s="1408" t="s">
        <v>92</v>
      </c>
      <c r="I63"/>
      <c r="J63"/>
      <c r="K63"/>
      <c r="L63"/>
      <c r="M63"/>
    </row>
    <row r="64" spans="1:8" s="694" customFormat="1" ht="29.25" customHeight="1">
      <c r="A64" s="1139"/>
      <c r="B64" s="1139"/>
      <c r="C64" s="658" t="s">
        <v>93</v>
      </c>
      <c r="D64" s="1438">
        <v>6000</v>
      </c>
      <c r="E64" s="1438">
        <v>6000</v>
      </c>
      <c r="F64" s="1438">
        <v>6000</v>
      </c>
      <c r="G64" s="1439">
        <f t="shared" si="4"/>
        <v>1</v>
      </c>
      <c r="H64" s="658" t="s">
        <v>94</v>
      </c>
    </row>
    <row r="65" spans="1:8" s="694" customFormat="1" ht="29.25" customHeight="1">
      <c r="A65" s="1139"/>
      <c r="B65" s="1139"/>
      <c r="C65" s="1164" t="s">
        <v>95</v>
      </c>
      <c r="D65" s="1165"/>
      <c r="E65" s="1165">
        <v>22000</v>
      </c>
      <c r="F65" s="1165">
        <v>22000</v>
      </c>
      <c r="G65" s="1439">
        <f t="shared" si="4"/>
        <v>1</v>
      </c>
      <c r="H65" s="1164" t="s">
        <v>96</v>
      </c>
    </row>
    <row r="66" spans="1:8" s="694" customFormat="1" ht="29.25" customHeight="1">
      <c r="A66" s="1139"/>
      <c r="B66" s="1139"/>
      <c r="C66" s="630" t="s">
        <v>97</v>
      </c>
      <c r="D66" s="1319"/>
      <c r="E66" s="1319">
        <v>20000</v>
      </c>
      <c r="F66" s="1319">
        <v>20000</v>
      </c>
      <c r="G66" s="1449">
        <f t="shared" si="4"/>
        <v>1</v>
      </c>
      <c r="H66" s="630" t="s">
        <v>98</v>
      </c>
    </row>
    <row r="67" spans="1:13" s="714" customFormat="1" ht="27.75" customHeight="1" thickBot="1">
      <c r="A67" s="663"/>
      <c r="B67" s="663"/>
      <c r="C67" s="596" t="s">
        <v>1010</v>
      </c>
      <c r="D67" s="1495">
        <f aca="true" t="shared" si="5" ref="D67:F68">D68</f>
        <v>1584000</v>
      </c>
      <c r="E67" s="1495">
        <f t="shared" si="5"/>
        <v>1648722</v>
      </c>
      <c r="F67" s="1495">
        <f t="shared" si="5"/>
        <v>1648722</v>
      </c>
      <c r="G67" s="1496">
        <f t="shared" si="4"/>
        <v>1</v>
      </c>
      <c r="H67" s="1497"/>
      <c r="I67"/>
      <c r="J67"/>
      <c r="K67"/>
      <c r="L67"/>
      <c r="M67"/>
    </row>
    <row r="68" spans="1:13" s="694" customFormat="1" ht="19.5" customHeight="1" thickTop="1">
      <c r="A68" s="1147">
        <v>853</v>
      </c>
      <c r="B68" s="1147"/>
      <c r="C68" s="59" t="s">
        <v>395</v>
      </c>
      <c r="D68" s="420">
        <f t="shared" si="5"/>
        <v>1584000</v>
      </c>
      <c r="E68" s="420">
        <f t="shared" si="5"/>
        <v>1648722</v>
      </c>
      <c r="F68" s="420">
        <f t="shared" si="5"/>
        <v>1648722</v>
      </c>
      <c r="G68" s="422">
        <f t="shared" si="4"/>
        <v>1</v>
      </c>
      <c r="H68" s="176"/>
      <c r="I68"/>
      <c r="J68"/>
      <c r="K68"/>
      <c r="L68"/>
      <c r="M68"/>
    </row>
    <row r="69" spans="1:13" s="714" customFormat="1" ht="19.5" customHeight="1">
      <c r="A69" s="662"/>
      <c r="B69" s="663">
        <v>85303</v>
      </c>
      <c r="C69" s="609" t="s">
        <v>396</v>
      </c>
      <c r="D69" s="1150">
        <f>SUM(D70:D71)</f>
        <v>1584000</v>
      </c>
      <c r="E69" s="1150">
        <f>SUM(E70:E71)</f>
        <v>1648722</v>
      </c>
      <c r="F69" s="1150">
        <f>SUM(F70:F71)</f>
        <v>1648722</v>
      </c>
      <c r="G69" s="1151">
        <f t="shared" si="4"/>
        <v>1</v>
      </c>
      <c r="H69" s="399"/>
      <c r="I69"/>
      <c r="J69"/>
      <c r="K69"/>
      <c r="L69"/>
      <c r="M69"/>
    </row>
    <row r="70" spans="1:13" s="694" customFormat="1" ht="24.75" customHeight="1">
      <c r="A70" s="1139"/>
      <c r="B70" s="1139"/>
      <c r="C70" s="347" t="s">
        <v>99</v>
      </c>
      <c r="D70" s="1450">
        <v>720000</v>
      </c>
      <c r="E70" s="1450">
        <v>750000</v>
      </c>
      <c r="F70" s="1450">
        <v>750000</v>
      </c>
      <c r="G70" s="1451">
        <f t="shared" si="4"/>
        <v>1</v>
      </c>
      <c r="H70" s="1408" t="s">
        <v>92</v>
      </c>
      <c r="I70"/>
      <c r="J70"/>
      <c r="K70"/>
      <c r="L70"/>
      <c r="M70"/>
    </row>
    <row r="71" spans="1:13" s="694" customFormat="1" ht="25.5" customHeight="1">
      <c r="A71" s="1169"/>
      <c r="B71" s="1169"/>
      <c r="C71" s="353" t="s">
        <v>100</v>
      </c>
      <c r="D71" s="1190">
        <v>864000</v>
      </c>
      <c r="E71" s="1190">
        <v>898722</v>
      </c>
      <c r="F71" s="1190">
        <v>898722</v>
      </c>
      <c r="G71" s="1191">
        <f t="shared" si="4"/>
        <v>1</v>
      </c>
      <c r="H71" s="1169" t="s">
        <v>92</v>
      </c>
      <c r="I71"/>
      <c r="J71"/>
      <c r="K71"/>
      <c r="L71"/>
      <c r="M71"/>
    </row>
    <row r="74" ht="12.75">
      <c r="G74" s="1980" t="s">
        <v>449</v>
      </c>
    </row>
    <row r="75" ht="12.75">
      <c r="G75" s="1980" t="s">
        <v>450</v>
      </c>
    </row>
    <row r="76" ht="12.75">
      <c r="G76" s="1980" t="s">
        <v>451</v>
      </c>
    </row>
  </sheetData>
  <mergeCells count="1">
    <mergeCell ref="C28:C30"/>
  </mergeCells>
  <printOptions horizontalCentered="1"/>
  <pageMargins left="0.5905511811023623" right="0.5905511811023623" top="0.6692913385826772" bottom="0.55" header="0.5118110236220472" footer="0.3937007874015748"/>
  <pageSetup firstPageNumber="61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2004-03-23T08:52:31Z</cp:lastPrinted>
  <dcterms:created xsi:type="dcterms:W3CDTF">2004-03-23T08:04:11Z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