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599" activeTab="0"/>
  </bookViews>
  <sheets>
    <sheet name="wydatki - projekt" sheetId="1" r:id="rId1"/>
  </sheets>
  <definedNames>
    <definedName name="_xlnm.Print_Titles" localSheetId="0">'wydatki - projekt'!$10:$10</definedName>
  </definedNames>
  <calcPr fullCalcOnLoad="1"/>
</workbook>
</file>

<file path=xl/sharedStrings.xml><?xml version="1.0" encoding="utf-8"?>
<sst xmlns="http://schemas.openxmlformats.org/spreadsheetml/2006/main" count="555" uniqueCount="339">
  <si>
    <t>Treść</t>
  </si>
  <si>
    <t xml:space="preserve">Przewidywane </t>
  </si>
  <si>
    <t>%</t>
  </si>
  <si>
    <t>Rozdz.</t>
  </si>
  <si>
    <t>Pozostała działalność</t>
  </si>
  <si>
    <t>porządkowanie targowisk, handlu ulicznego</t>
  </si>
  <si>
    <t>inwestycje</t>
  </si>
  <si>
    <t xml:space="preserve">Handel </t>
  </si>
  <si>
    <t>Plan</t>
  </si>
  <si>
    <t>z tego:</t>
  </si>
  <si>
    <t>ogółem</t>
  </si>
  <si>
    <t>w tym: remonty</t>
  </si>
  <si>
    <t>wydatki</t>
  </si>
  <si>
    <t>majątkowe</t>
  </si>
  <si>
    <t>Wydatki na zadania własne</t>
  </si>
  <si>
    <t>w złotych</t>
  </si>
  <si>
    <t>Lokalny transport zbiorowy</t>
  </si>
  <si>
    <t>Drogi publiczne w miastach na prawach powiatu</t>
  </si>
  <si>
    <t>Drogi publiczne gminne</t>
  </si>
  <si>
    <t>remonty dróg</t>
  </si>
  <si>
    <t>bieżące utrzymanie dróg</t>
  </si>
  <si>
    <t>Turystyka</t>
  </si>
  <si>
    <t>Ośrodki informacji turystycznej</t>
  </si>
  <si>
    <t>Zadania w zakresie upowszechniania turystyki</t>
  </si>
  <si>
    <t>Gospodarka mieszkaniowa</t>
  </si>
  <si>
    <t>Zakłady gospodarki mieszkaniowej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</si>
  <si>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</si>
  <si>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</si>
  <si>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</si>
  <si>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</si>
  <si>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</si>
  <si>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</si>
  <si>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</si>
  <si>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</si>
  <si>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Komendy powiatowe Policji</t>
  </si>
  <si>
    <t>Ochotnicze straże pożarne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</si>
  <si>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</si>
  <si>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</si>
  <si>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</si>
  <si>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</si>
  <si>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</si>
  <si>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Prywatyzacja</t>
  </si>
  <si>
    <t>Oświata i wychowanie</t>
  </si>
  <si>
    <t>Szkoły podstawowe</t>
  </si>
  <si>
    <t>wydatki rzeczowe</t>
  </si>
  <si>
    <t>pochodne od wynagrodzeń</t>
  </si>
  <si>
    <t>Szkoły podstawowe specjalne</t>
  </si>
  <si>
    <t>Gimnazja</t>
  </si>
  <si>
    <t>Dowożenie uczniów do szkół</t>
  </si>
  <si>
    <t>Szkoły zawodowe specjalne</t>
  </si>
  <si>
    <t>Lecznictwo ambulatoryjne</t>
  </si>
  <si>
    <t>Ochrona zdrowia</t>
  </si>
  <si>
    <t>Programy polityki zdrowotnej</t>
  </si>
  <si>
    <t>Przeciwdziałanie alkoholizmowi</t>
  </si>
  <si>
    <t>Placówki opiekuńczo-wychowacze</t>
  </si>
  <si>
    <t>Domy pomocy społecznej</t>
  </si>
  <si>
    <t>Ośrodki wsparcia</t>
  </si>
  <si>
    <t>Żłobki</t>
  </si>
  <si>
    <t>Dodatki mieszkaniowe</t>
  </si>
  <si>
    <t>Ośrodki adopcyjno-opiekuńcze</t>
  </si>
  <si>
    <t>Usługi opiekuńcze i specjalistyczne usługi opiekuńcze</t>
  </si>
  <si>
    <t>Powiatowe urzędy pracy</t>
  </si>
  <si>
    <t>Edukacyjna opieka wychowawcza</t>
  </si>
  <si>
    <t>Świetlice szkolne</t>
  </si>
  <si>
    <t>Przedszkola specjalne</t>
  </si>
  <si>
    <t>Placówki wychowania pozaszkolnego</t>
  </si>
  <si>
    <t>Internaty i bursy szkolne</t>
  </si>
  <si>
    <t>Gospodarstwa pomocnicze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</si>
  <si>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</si>
  <si>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</si>
  <si>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</si>
  <si>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</si>
  <si>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</si>
  <si>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</si>
  <si>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Teatry dramatyczne i lalkowe</t>
  </si>
  <si>
    <t>Domy i ośrodki kultury, świetlice i kluby</t>
  </si>
  <si>
    <t>Galerie i biura wystaw artystycznych</t>
  </si>
  <si>
    <t>Ochrona i konserwacja zabytków</t>
  </si>
  <si>
    <t>Kultura fizyczna i sport</t>
  </si>
  <si>
    <t>Obiekty sportowe</t>
  </si>
  <si>
    <t>Instytucje kultury fizycznej</t>
  </si>
  <si>
    <t>Wydatki na zadania zlecone</t>
  </si>
  <si>
    <t>Urzędy wojewódzkie</t>
  </si>
  <si>
    <t>Obrona cywilna</t>
  </si>
  <si>
    <t>Wydatki na zadania z zakresu administracji rządowej wykonywane przez powiat</t>
  </si>
  <si>
    <t>010</t>
  </si>
  <si>
    <t>Rolnictwo i łowiectwo</t>
  </si>
  <si>
    <t>Prace geodezyjne i kartograficzne (nieinwestycyjne)</t>
  </si>
  <si>
    <t>020</t>
  </si>
  <si>
    <t>Leśnictwo</t>
  </si>
  <si>
    <t>zadania w zakresie nadzoru nad lasami</t>
  </si>
  <si>
    <t>700</t>
  </si>
  <si>
    <t>gospodarka nieruchomościami</t>
  </si>
  <si>
    <t>Rodziny zastępcze</t>
  </si>
  <si>
    <t>świadczenia społeczne</t>
  </si>
  <si>
    <t>Nadzór budowlany</t>
  </si>
  <si>
    <t>Komisje poborowe</t>
  </si>
  <si>
    <t>(nazwa działu, rozdziału, zadania)</t>
  </si>
  <si>
    <t>z dnia</t>
  </si>
  <si>
    <t>usługi opiekuńcze</t>
  </si>
  <si>
    <t>dodatki mieszkaniowe</t>
  </si>
  <si>
    <t>5:4</t>
  </si>
  <si>
    <t>usługi komunikacyjne w zakresie transportu zbiorowego</t>
  </si>
  <si>
    <t>wydatki majątkowe</t>
  </si>
  <si>
    <t>eksploatacja bieżąca i konserwacja kanalizacji deszczowej</t>
  </si>
  <si>
    <t>bieżące utrzymanie Zbiornika Zemborzyckiego</t>
  </si>
  <si>
    <t>eksploatacja składowiska odpadów komunalnych w Rokitnie</t>
  </si>
  <si>
    <t>konserwacja i utrzymanie szaletów miejskich</t>
  </si>
  <si>
    <t>wywóz nieczystości stałych</t>
  </si>
  <si>
    <t>prace porządkowe doraźne</t>
  </si>
  <si>
    <t>zakup materiałów i wyposażenia do parków, skwerów i placów zabaw</t>
  </si>
  <si>
    <t>utrzymanie, konserwacja i renowacja zieleni</t>
  </si>
  <si>
    <t>oświetlenie dróg</t>
  </si>
  <si>
    <t>koszty rozbiórek budynków</t>
  </si>
  <si>
    <t>ogłoszenia prasowe</t>
  </si>
  <si>
    <t>koszty funkcjonowania Miejskiej Komisji Urbanistyczno-Architektonicznej</t>
  </si>
  <si>
    <t>dofinansowanie Straży Pożarnej</t>
  </si>
  <si>
    <t>rezerwa budżetowa</t>
  </si>
  <si>
    <t>dotacje dla niepublicznych szkół podstawowych</t>
  </si>
  <si>
    <t>Szkoły artystyczne</t>
  </si>
  <si>
    <t>Centra kształcenia ustawicznego i praktycznego oraz ośrodki dokształcania zawodowego</t>
  </si>
  <si>
    <t>Komisje egzaminacyjne</t>
  </si>
  <si>
    <t>dotacja przedmiotowa na częściowe pokrycie kosztów centralnego ogrzewania warsztatów szkolnych</t>
  </si>
  <si>
    <t>nagrody rzeczowe dla laureatów konkursów i olimpiad przedmiotowych</t>
  </si>
  <si>
    <t>programy zdrowotne</t>
  </si>
  <si>
    <t>zadania realizowane w ramach Gminnego Programu Przeciwdziałania Narkomanii</t>
  </si>
  <si>
    <t>Szkoła Ratownictwa Medyczno - Sanitarnego</t>
  </si>
  <si>
    <t>Specjalne ośrodki szkolno - wychowawcze</t>
  </si>
  <si>
    <t>Pomoc materialna dla uczniów</t>
  </si>
  <si>
    <t>Pozostałe zadania w zakresie kultury</t>
  </si>
  <si>
    <t>upowszechnianie kultury i sztuki</t>
  </si>
  <si>
    <t>Centra kultury i sztuki</t>
  </si>
  <si>
    <t>Biblioteki</t>
  </si>
  <si>
    <t>dotacja dla gminy Głusk na obsługę biblioteczną mieszkańców Lublina</t>
  </si>
  <si>
    <t>Kultura i ochrona dziedzictwa narodowego</t>
  </si>
  <si>
    <t>Zadania w zakresie kultury fizycznej i sportu</t>
  </si>
  <si>
    <t>Zasiłki rodzinne, pielęgnacyjne i wychowawcze</t>
  </si>
  <si>
    <t xml:space="preserve">usługi opiekuńcze </t>
  </si>
  <si>
    <t>dotacja dla Lubelskiego Ośrodka Informacji Turystycznej</t>
  </si>
  <si>
    <t>Gimnazja specjalne</t>
  </si>
  <si>
    <t>Zwalczanie narkomanii</t>
  </si>
  <si>
    <t>opracowania planistyczne, strategia rozwoju miasta i inne</t>
  </si>
  <si>
    <t xml:space="preserve">stypendia oraz inne formy pomocy dla uczniów </t>
  </si>
  <si>
    <t>Dział</t>
  </si>
  <si>
    <t>Urzędy miast i miast na prawach powiatu</t>
  </si>
  <si>
    <t>dotacje dla niepublicznych placówek opiekuńczo-wychowawczych</t>
  </si>
  <si>
    <t>regulacja stanów geodezyjno - prawnych nieruchomości, opracowania geodezyjne</t>
  </si>
  <si>
    <t>stypendia dla młodzieży szkół artystycznych</t>
  </si>
  <si>
    <t>bezzwrotna pomoc na remonty dla właścicieli budynków zabytkowych</t>
  </si>
  <si>
    <t>Szkolne schroniska młodzieżowe</t>
  </si>
  <si>
    <t xml:space="preserve">dotacja dla Zarządu Nieruchomości Komunalnych </t>
  </si>
  <si>
    <t>dotacja dla MOSiR "Bystrzyca"</t>
  </si>
  <si>
    <t>Wydatki na zadania ustawowo zlecone gminie</t>
  </si>
  <si>
    <t>02002</t>
  </si>
  <si>
    <t xml:space="preserve">Szkoły zawodowe </t>
  </si>
  <si>
    <t xml:space="preserve">Przedszkola </t>
  </si>
  <si>
    <t>01030</t>
  </si>
  <si>
    <t xml:space="preserve">Izby rolnicze </t>
  </si>
  <si>
    <t>wpłaty na rzecz Lubelskiej Izby Rolniczej</t>
  </si>
  <si>
    <t>Transport i łączność</t>
  </si>
  <si>
    <t>Drogi wewnętrzne</t>
  </si>
  <si>
    <t xml:space="preserve">Różne jednostki obsługi gospodarki mieszkaniowej </t>
  </si>
  <si>
    <t>Cmentarze</t>
  </si>
  <si>
    <t>utrzymanie cmentarzy komunalnych i urządzeń cmentarnych</t>
  </si>
  <si>
    <t>Pobór podatków, opłat i niepodatkowych należności budżetowych</t>
  </si>
  <si>
    <t>Ośrodki pomocy społecznej</t>
  </si>
  <si>
    <t>Pomoc dla uchodźców</t>
  </si>
  <si>
    <t xml:space="preserve">Nadzór nad gospodarką leśną </t>
  </si>
  <si>
    <t>utrzymanie cmentarza przy ul. Walecznych</t>
  </si>
  <si>
    <t>wynagrodzenie za inkaso opłaty targowej i podatków</t>
  </si>
  <si>
    <t>konserwacja i obsługa urządzeń oświetlenia</t>
  </si>
  <si>
    <t xml:space="preserve">dotacje dla niepublicznych burs i internatów </t>
  </si>
  <si>
    <t>Wydatki budżetu miasta ogółem</t>
  </si>
  <si>
    <t>zajęcia sportowo - rekreacyjne w szkołach</t>
  </si>
  <si>
    <t>koszty funkcjonowania komisji egzaminacyjnych</t>
  </si>
  <si>
    <t>Zasiłki i pomoc w naturze oraz składki na ubezpieczenia społeczne</t>
  </si>
  <si>
    <t>pomoc materialna dla młodzieży wiejskiej</t>
  </si>
  <si>
    <t>dotacje dla niepublicznych ośrodków szkolno-wychowawczych</t>
  </si>
  <si>
    <t>dotacje dla publicznych i niepublicznych szkół zawodowych</t>
  </si>
  <si>
    <t>Licea ogólnokształcące specjalne</t>
  </si>
  <si>
    <t>Licea ogólnokształcące</t>
  </si>
  <si>
    <t>upowszechnianie turystyki i krajoznawstwa</t>
  </si>
  <si>
    <t>Urzędy naczelnych organów władzy państwowej, kontroli 
i ochrony prawa oraz sądownictwa</t>
  </si>
  <si>
    <t>Urzędy naczelnych organów władzy państwowej, kontroli 
i ochrony prawa</t>
  </si>
  <si>
    <t>dofinansowanie działań na rzecz utrzymania bezpieczeństwa 
w mieście</t>
  </si>
  <si>
    <t xml:space="preserve">Zasiłki i pomoc w naturze oraz składki na ubezpieczenia społeczne </t>
  </si>
  <si>
    <t>Licea profilowane</t>
  </si>
  <si>
    <t>Dokształcanie i doskonalenie nauczycieli</t>
  </si>
  <si>
    <t>dokształcanie i doskonalenie zawodowe nauczycieli</t>
  </si>
  <si>
    <t>zakup świadczeń zdrowotnych</t>
  </si>
  <si>
    <t>eksploatacja bieżąca i konserwacja zdrojów ulicznych, zbiorników p.poż. i punktów szybkiego napełniania wody, zabezpieczenie ujęcia wodnego</t>
  </si>
  <si>
    <t>odszkodowania</t>
  </si>
  <si>
    <t>dotacje dla publicznych liceów profilowanych</t>
  </si>
  <si>
    <t>Pomoc dla repatriantów</t>
  </si>
  <si>
    <t>opłata za korzystanie ze środowiska</t>
  </si>
  <si>
    <t>sprzątanie przystanków i utrzymanie wiat przystankowych</t>
  </si>
  <si>
    <t>utrzymanie miejsc pamięci narodowej</t>
  </si>
  <si>
    <t>pokrycie straty bilansowej w MPK Lublin Sp. z o.o.</t>
  </si>
  <si>
    <t>dotacja dla Dzielnicowego Domu Kultury "Bronowice"</t>
  </si>
  <si>
    <t>dotacja dla Ośrodka "Brama Grodzka - Teatr NN"</t>
  </si>
  <si>
    <t>dotacja dla Biura Wystaw Artystycznych</t>
  </si>
  <si>
    <t>dotacja dla Centrum Kultury</t>
  </si>
  <si>
    <t>modernizacja ewidencji gruntów w obrębach przyłączonych 
do miasta Lublina</t>
  </si>
  <si>
    <t>konserwacja rowów i urządzeń melioracyjnych w Parku Ludowym</t>
  </si>
  <si>
    <t>system monitoringu w mieście</t>
  </si>
  <si>
    <t>konserwacja i utrzymanie rowów odwadniających</t>
  </si>
  <si>
    <t>Rady Miasta Lublin</t>
  </si>
  <si>
    <t>Towarzystwa budownictwa społecznego</t>
  </si>
  <si>
    <t xml:space="preserve">Dochody od osób prawnych, od osób fizycznych i od innych jednostek nieposiadających osobowości prawnej oraz wydatki związane z ich poborem </t>
  </si>
  <si>
    <t>Pomoc społeczna</t>
  </si>
  <si>
    <t>Pozostałe zadania w zakresie polityki społecznej</t>
  </si>
  <si>
    <t>Zespoły do spraw orzekania o niepełnosprawności</t>
  </si>
  <si>
    <t>Poradnie psychologiczno - pedagogiczne, w tym poradnie specjalistyczne</t>
  </si>
  <si>
    <t>Młodzieżowe ośrodki socjoterapii</t>
  </si>
  <si>
    <t>Składki na ubezpieczenie zdrowotne oraz świadczenia dla osób nieobjętych obowiązkiem ubezpieczenia zdrowotnego</t>
  </si>
  <si>
    <t xml:space="preserve">  wydatki bieżące</t>
  </si>
  <si>
    <t>utrzymanie fontann</t>
  </si>
  <si>
    <t>oczyszczanie miasta</t>
  </si>
  <si>
    <t>Licea profilowane specjalne</t>
  </si>
  <si>
    <t xml:space="preserve">dożywianie uczniów </t>
  </si>
  <si>
    <t>Różne rozliczenia finansowe</t>
  </si>
  <si>
    <t>koszty obsługi rachunku bankowego</t>
  </si>
  <si>
    <t>wpłata do budżetu państwa</t>
  </si>
  <si>
    <t>Ratownictwo medyczne</t>
  </si>
  <si>
    <t>mieszkania chronione</t>
  </si>
  <si>
    <t>przedszkola przy szkołach podstawowych, z tego:</t>
  </si>
  <si>
    <t>przedszkola, z tego:</t>
  </si>
  <si>
    <t>składki na ubezpieczenie zdrowotne opłacane za osoby pobierające świadczenia z pomocy społecznej</t>
  </si>
  <si>
    <t>utrzymanie stołówek szkolnych, z tego:</t>
  </si>
  <si>
    <t>funkcjonowanie Rady Miasta</t>
  </si>
  <si>
    <t>funkcjonowanie jednostek pomocniczych miasta</t>
  </si>
  <si>
    <t>wybory do jednostek pomocniczych miasta</t>
  </si>
  <si>
    <t>akcja "Bezpieczna droga"</t>
  </si>
  <si>
    <t xml:space="preserve">pomoc dla repatriantów </t>
  </si>
  <si>
    <t>schronisko dla zwierząt</t>
  </si>
  <si>
    <t>nagrody w dziedzinie kultury</t>
  </si>
  <si>
    <t xml:space="preserve">utrzymanie grobów i cmentarzy wojennych </t>
  </si>
  <si>
    <t>pomoc dla repatriantów</t>
  </si>
  <si>
    <t>przeprowadzenie poboru do wojska</t>
  </si>
  <si>
    <t>składki na ubezpieczenie zdrowotne za uczniów oraz wychowanków placówek opiekuńczo-wychowawczych</t>
  </si>
  <si>
    <t>pomoc dla uchodźców</t>
  </si>
  <si>
    <t>dotacja dla Zespołu Pieśni i Tańca "Lublin" im. W. Kaniorowej</t>
  </si>
  <si>
    <t>wydatki związane z utrzymaniem zasobów komunalnych, sprzedażą mienia komunalnego oraz szacunki nieruchomości</t>
  </si>
  <si>
    <t>wydatki z zakresu obrony cywilnej</t>
  </si>
  <si>
    <t>wydatki związane ze sprzedażą spółek</t>
  </si>
  <si>
    <t>Gospodarka odpadami</t>
  </si>
  <si>
    <t>działalność w ramach Związku Transgranicznego "Euroregion Bug"</t>
  </si>
  <si>
    <t>koszty przeprowadzek i przechowywania rzeczy osób eksmitowanych oraz zakwaterowania osób poszkodowanych w wypadkach losowych</t>
  </si>
  <si>
    <t xml:space="preserve">zakładowy fundusz świadczeń socjalnych dla nauczycieli emerytów 
i rencistów </t>
  </si>
  <si>
    <t>Kolonie i obozy oraz inne formy wypoczynku dzieci i młodzieży 
szkolnej, a także szkolenia młodzieży</t>
  </si>
  <si>
    <t>Jednostki specjalistycznego poradnictwa, mieszkania chronione 
i ośrodki interwencji kryzysowej</t>
  </si>
  <si>
    <t>Wydatki na zadania realizowane na podstawie porozumień i umów</t>
  </si>
  <si>
    <t>nagrody Prezydenta Miasta Lublin i inne dla zawodników i kadry szkoleniowej</t>
  </si>
  <si>
    <t>utrzymanie Środowiskowego Domu Samopomocy przy 
ul. Gospodarczej, z tego:</t>
  </si>
  <si>
    <t>dotacja na prowadzenie Środowiskowego Domu Samopomocy 
przy al. Spółdzielczości Pracy</t>
  </si>
  <si>
    <t>prowadzenie i aktualizacja rejestru wyborców</t>
  </si>
  <si>
    <t xml:space="preserve">realizacja projektu Trasa: "Euro-Trójkąt Przyjaźni Lublin - Łuck - Brześć" </t>
  </si>
  <si>
    <t>konserwacja urządzeń małej architektury ogrodowej w parkach, 
na skwerach i miejskich placach zabaw</t>
  </si>
  <si>
    <t>dotacja na prowadzenie Środowiskowego Domu Samopomocy 
przy ul. Abramowickiej "Misericordia"</t>
  </si>
  <si>
    <t>dotacja na prowadzenie Środowiskowego Domu Samopomocy "Roztocze" przy ul. Wallenroda oraz Ośrodka Wsparcia 
przy ul. Bronowickiej</t>
  </si>
  <si>
    <t>składki na ubezpieczenie zdrowotne za osoby bezrobotne bez prawa 
do zasiłku</t>
  </si>
  <si>
    <t>Wydatki budżetu miasta na 2005 rok</t>
  </si>
  <si>
    <t>wykonanie                           2004 roku</t>
  </si>
  <si>
    <t>na 2005 rok</t>
  </si>
  <si>
    <t>świadczenia rodzinne dla pracowników Straży Pożarnej</t>
  </si>
  <si>
    <t>transport zbiorowy w mieście</t>
  </si>
  <si>
    <t xml:space="preserve">rezerwa celowa na uruchomienie od 1 września 2005 roku nowego segmentu w Zespole Szkół Nr 5 </t>
  </si>
  <si>
    <t>opłata roczna za użytkowanie gruntów pokrytych wodami</t>
  </si>
  <si>
    <t>"Wyprawka szkolna"</t>
  </si>
  <si>
    <t>realizacja projektów w ramach programu Socrates - Comenius</t>
  </si>
  <si>
    <t>realizacja projektu "Turystyczne Centrum Obsługi Ruchu Transgranicznego w Lublinie"</t>
  </si>
  <si>
    <t>dotacja dla Teatru im. H. Ch. Andersena</t>
  </si>
  <si>
    <t>dotacja dla Miejskiej Biblioteki Publicznej im. H. Łopacińskiego</t>
  </si>
  <si>
    <t>realizacja projektu "Blisko, coraz bliżej - Euroregionalny Ośrodek Informacji i Współpracy Kulturalnej w Lublinie"</t>
  </si>
  <si>
    <t>utrzymanie boisk osiedlowych</t>
  </si>
  <si>
    <t xml:space="preserve">utrzymanie miejskich zasobów gruntowych </t>
  </si>
  <si>
    <t>zarządzanie ruchem i rehabilitacja ulic</t>
  </si>
  <si>
    <t>realizacja programu "Promocja wzrostu zatrudnienia wśród młodzieży"</t>
  </si>
  <si>
    <t>realizacja projektu "E-government in Hansa Passage Regions"</t>
  </si>
  <si>
    <t>promocja miasta, w tym poprzez sport</t>
  </si>
  <si>
    <t>opłaty za pobyt osób skierowanych do domów pomocy społecznej poza miasto Lublin</t>
  </si>
  <si>
    <t xml:space="preserve">dotacja na prowadzenie Ośrodka Wsparcia dla Rodzin z Dzieckiem Niepełnosprawnym </t>
  </si>
  <si>
    <t>składki z tytułu członkostwa Miasta Lublin w organizacjach samorządowych</t>
  </si>
  <si>
    <t>zapewnienie miejsc noclegowych w noclegowniach, schroniskach, domach dla bezdomnych i ofiar przemocy</t>
  </si>
  <si>
    <t>prowadzenie banku żywności</t>
  </si>
  <si>
    <t>prowadzenie taniego żywienia w formie kuchni społecznych</t>
  </si>
  <si>
    <t>realizacja programów służących aktywizacji i integracji osób w podeszłym wieku</t>
  </si>
  <si>
    <t>pomoc osobom niepełnosprawnym fizycznie, intelektualnie i chorym psychicznie</t>
  </si>
  <si>
    <t xml:space="preserve">dowożenie uczniów </t>
  </si>
  <si>
    <t xml:space="preserve">ogłoszenia prasowe </t>
  </si>
  <si>
    <t>organizacja kursu języka polskiego i kursu adaptacyjnego dla repatriantów</t>
  </si>
  <si>
    <t>realizacja programu z zakresu opieki nad dzieckiem i rodziną</t>
  </si>
  <si>
    <t>zakup specjalistycznego sprzętu i wyposażenia indywidualnego strażaków</t>
  </si>
  <si>
    <t xml:space="preserve">świadczenia rodzinne </t>
  </si>
  <si>
    <t>Wybory do Parlamentu Europejskiego</t>
  </si>
  <si>
    <t>przeprowadzenie wyborów do Parlamentu Europejskiego</t>
  </si>
  <si>
    <t>realizacja projektu "Podajmy sobie ręce"</t>
  </si>
  <si>
    <t>funkcjonowanie Centrum Powiadamiania Ratunkowego</t>
  </si>
  <si>
    <t>świadczenia społeczne dla pracowników Straży Pożarnej</t>
  </si>
  <si>
    <t>Miejski Zespół Reagowania Kryzysowego</t>
  </si>
  <si>
    <t>wypłata oprocentowania oraz wydatki związane z obsługą emisji obligacji komunalnych</t>
  </si>
  <si>
    <t xml:space="preserve">odsetki oraz wydatki związane z obsługą pożyczek i kredytów </t>
  </si>
  <si>
    <t xml:space="preserve">dotacje dla publicznych i niepublicznych przedszkoli </t>
  </si>
  <si>
    <t xml:space="preserve">dotacje dla publicznych i niepublicznych gimnazjów </t>
  </si>
  <si>
    <t>dotacje dla publicznych i niepublicznych liceów ogólnokształcących</t>
  </si>
  <si>
    <t>wydatki związane z likwidacją Zespołu Opieki Zdrowotnej 
w Lublinie SP ZOZ</t>
  </si>
  <si>
    <t xml:space="preserve">dotacje na utrzymanie dzieci skierowanych do placówek opiekuńczo-wychowawczych na terenie innych powiatów  </t>
  </si>
  <si>
    <t xml:space="preserve">dotacje na utrzymanie dzieci umieszczonych w rodzinach zastępczych na terenie innych powiatów  </t>
  </si>
  <si>
    <t>wydatki rzeczowe Specjalistycznej Poradni dla Rodzin</t>
  </si>
  <si>
    <t>dotacja dla Ośrodka "Brama Grodzka - Teatr NN" na Lubelską Trasę Podziemną</t>
  </si>
  <si>
    <t>dotacja dla Ośrodka "Brama Grodzka - Teatr NN" na Centrum Edukacyjne Lubelski Lipiec '80</t>
  </si>
  <si>
    <t>rewaloryzacja zabytków</t>
  </si>
  <si>
    <t>upowszechnianie kultury fizycznej</t>
  </si>
  <si>
    <t>organizacja imprez sportowo - rekreacyjnych dla dzieci i młodzieży 
w osiedlach mieszkaniowych</t>
  </si>
  <si>
    <t>Świadczenia rodzinne oraz składki na ubezpieczenia emerytalne 
i rentowe z ubezpieczenia społecznego</t>
  </si>
  <si>
    <t>dotacja na prowadzenie Środowiskowego Domu Samopomocy dla Osób z Chorobą Alzheimera "Mefazja"</t>
  </si>
  <si>
    <t>dotacja na zakupy inwestycyjne dla Środowiskowego Domu Samopomocy dla Osób z Chorobą Alzheimera "Mefazja"</t>
  </si>
  <si>
    <t>rezerwa celowa na zapewnienie udziału własnego w projektach współfinansowanych ze środków Unii Europejskiej</t>
  </si>
  <si>
    <t>dotacja na prowadzenie domu pomocy społecznej przy ul. Dolińskiego</t>
  </si>
  <si>
    <t>Załącznik nr 2</t>
  </si>
  <si>
    <t>do uchwały nr</t>
  </si>
  <si>
    <t>zadania realizowane w ramach Gminnego Programu Profilaktyki 
i Rozwiązywania Problemów Alkoholowych</t>
  </si>
  <si>
    <t xml:space="preserve">realizacja zadań wynikających ze strategii działań na rzecz osób niepełnosprawnych </t>
  </si>
  <si>
    <t>organizacja obozów szkoleniowych i imprez sportowo-rekreacyjnych 
w okresie ferii zimowych i wakacji letnich</t>
  </si>
  <si>
    <t>Składki na ubezpieczenie zdrowotne opłacane za osoby pobierające niektóre świadczenia z pomocy społecznej 
oraz niektóre świadczenia rodzinne</t>
  </si>
  <si>
    <t>dotacja dla Miejskiej Biblioteki Publicznej im. H. Łopacińskiego 
na realizację projektu "Informatyzacja Miejskiej Biblioteki Publicznej 
im. H. Łopacińskiego w Lublinie i utworzenie Publicznych Punktów 
Dostępu do Internetu w filiach MBP" - I i II etap</t>
  </si>
  <si>
    <t xml:space="preserve">wynagrodzenia </t>
  </si>
  <si>
    <t>Euroregiony</t>
  </si>
  <si>
    <t>wspomaganie podmiotów zajmujących się upowszechnianiem kultury fizycznej i sportu wśród dzieci i młodzieży w zakresie niezbędnego funkcjonowania komunalnych obiektów sportowych</t>
  </si>
  <si>
    <t xml:space="preserve">w tym: wynagrodzenia </t>
  </si>
  <si>
    <t xml:space="preserve">koszty funkcjonowania komisji egzaminacyjnych - wynagrodzenia </t>
  </si>
  <si>
    <t>Przedszkola</t>
  </si>
  <si>
    <t>w tym: wynagrodzenia</t>
  </si>
  <si>
    <t>wydatki ochotniczych straży pożarnych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</si>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</sst>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dotted"/>
    </border>
    <border>
      <left style="thin"/>
      <right style="thin"/>
      <top style="dotted"/>
      <bottom style="dashDotDot"/>
    </border>
    <border>
      <left style="thin"/>
      <right style="thin"/>
      <top style="dashDotDot"/>
      <bottom style="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 style="dashDotDot"/>
      <bottom style="thin"/>
    </border>
    <border>
      <left style="thin"/>
      <right style="thin"/>
      <top style="hair"/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wrapText="1"/>
    </xf>
    <xf numFmtId="3" fontId="7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0" fillId="2" borderId="0" xfId="0" applyFont="1" applyFill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9" xfId="0" applyNumberFormat="1" applyFont="1" applyBorder="1" applyAlignment="1">
      <alignment horizontal="centerContinuous" vertical="center"/>
    </xf>
    <xf numFmtId="3" fontId="7" fillId="0" borderId="7" xfId="0" applyNumberFormat="1" applyFont="1" applyBorder="1" applyAlignment="1">
      <alignment horizontal="right"/>
    </xf>
    <xf numFmtId="10" fontId="0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3" fontId="7" fillId="0" borderId="13" xfId="0" applyNumberFormat="1" applyFont="1" applyBorder="1" applyAlignment="1">
      <alignment horizontal="centerContinuous" vertical="center"/>
    </xf>
    <xf numFmtId="3" fontId="7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3" borderId="17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20" xfId="0" applyFont="1" applyBorder="1" applyAlignment="1">
      <alignment wrapText="1"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3" fontId="12" fillId="0" borderId="23" xfId="0" applyNumberFormat="1" applyFont="1" applyBorder="1" applyAlignment="1">
      <alignment/>
    </xf>
    <xf numFmtId="0" fontId="8" fillId="3" borderId="17" xfId="0" applyFont="1" applyFill="1" applyBorder="1" applyAlignment="1">
      <alignment/>
    </xf>
    <xf numFmtId="0" fontId="7" fillId="3" borderId="17" xfId="0" applyFont="1" applyFill="1" applyBorder="1" applyAlignment="1">
      <alignment wrapText="1"/>
    </xf>
    <xf numFmtId="3" fontId="7" fillId="3" borderId="17" xfId="0" applyNumberFormat="1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12" fillId="0" borderId="26" xfId="0" applyFont="1" applyBorder="1" applyAlignment="1">
      <alignment wrapText="1"/>
    </xf>
    <xf numFmtId="3" fontId="12" fillId="0" borderId="26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0" xfId="0" applyFont="1" applyAlignment="1">
      <alignment/>
    </xf>
    <xf numFmtId="3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 wrapText="1"/>
    </xf>
    <xf numFmtId="0" fontId="12" fillId="0" borderId="23" xfId="0" applyFont="1" applyBorder="1" applyAlignment="1">
      <alignment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wrapText="1"/>
    </xf>
    <xf numFmtId="3" fontId="12" fillId="0" borderId="17" xfId="0" applyNumberFormat="1" applyFont="1" applyBorder="1" applyAlignment="1">
      <alignment/>
    </xf>
    <xf numFmtId="0" fontId="12" fillId="0" borderId="25" xfId="0" applyFont="1" applyBorder="1" applyAlignment="1">
      <alignment wrapText="1"/>
    </xf>
    <xf numFmtId="0" fontId="7" fillId="0" borderId="17" xfId="0" applyFont="1" applyBorder="1" applyAlignment="1">
      <alignment vertical="top"/>
    </xf>
    <xf numFmtId="0" fontId="7" fillId="0" borderId="17" xfId="0" applyFont="1" applyBorder="1" applyAlignment="1">
      <alignment wrapText="1"/>
    </xf>
    <xf numFmtId="0" fontId="7" fillId="2" borderId="5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0" fontId="12" fillId="2" borderId="3" xfId="0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0" fontId="7" fillId="2" borderId="24" xfId="0" applyFont="1" applyFill="1" applyBorder="1" applyAlignment="1">
      <alignment/>
    </xf>
    <xf numFmtId="0" fontId="12" fillId="2" borderId="25" xfId="0" applyFont="1" applyFill="1" applyBorder="1" applyAlignment="1">
      <alignment/>
    </xf>
    <xf numFmtId="3" fontId="12" fillId="2" borderId="25" xfId="0" applyNumberFormat="1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26" xfId="0" applyFont="1" applyFill="1" applyBorder="1" applyAlignment="1">
      <alignment/>
    </xf>
    <xf numFmtId="3" fontId="12" fillId="2" borderId="26" xfId="0" applyNumberFormat="1" applyFont="1" applyFill="1" applyBorder="1" applyAlignment="1">
      <alignment/>
    </xf>
    <xf numFmtId="0" fontId="12" fillId="2" borderId="20" xfId="0" applyFont="1" applyFill="1" applyBorder="1" applyAlignment="1">
      <alignment/>
    </xf>
    <xf numFmtId="3" fontId="12" fillId="2" borderId="20" xfId="0" applyNumberFormat="1" applyFont="1" applyFill="1" applyBorder="1" applyAlignment="1">
      <alignment/>
    </xf>
    <xf numFmtId="0" fontId="12" fillId="2" borderId="23" xfId="0" applyFont="1" applyFill="1" applyBorder="1" applyAlignment="1">
      <alignment/>
    </xf>
    <xf numFmtId="3" fontId="12" fillId="2" borderId="23" xfId="0" applyNumberFormat="1" applyFont="1" applyFill="1" applyBorder="1" applyAlignment="1">
      <alignment/>
    </xf>
    <xf numFmtId="0" fontId="7" fillId="0" borderId="5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24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49" fontId="7" fillId="3" borderId="3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/>
    </xf>
    <xf numFmtId="0" fontId="7" fillId="2" borderId="3" xfId="0" applyFont="1" applyFill="1" applyBorder="1" applyAlignment="1">
      <alignment wrapText="1"/>
    </xf>
    <xf numFmtId="0" fontId="12" fillId="2" borderId="25" xfId="0" applyFont="1" applyFill="1" applyBorder="1" applyAlignment="1">
      <alignment wrapText="1"/>
    </xf>
    <xf numFmtId="3" fontId="12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0" fontId="7" fillId="3" borderId="17" xfId="0" applyFont="1" applyFill="1" applyBorder="1" applyAlignment="1">
      <alignment horizontal="right"/>
    </xf>
    <xf numFmtId="0" fontId="7" fillId="0" borderId="17" xfId="0" applyFont="1" applyBorder="1" applyAlignment="1" quotePrefix="1">
      <alignment horizontal="right"/>
    </xf>
    <xf numFmtId="0" fontId="7" fillId="3" borderId="17" xfId="0" applyFont="1" applyFill="1" applyBorder="1" applyAlignment="1" quotePrefix="1">
      <alignment horizontal="right"/>
    </xf>
    <xf numFmtId="0" fontId="12" fillId="2" borderId="23" xfId="0" applyFont="1" applyFill="1" applyBorder="1" applyAlignment="1">
      <alignment wrapText="1"/>
    </xf>
    <xf numFmtId="10" fontId="4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right"/>
    </xf>
    <xf numFmtId="10" fontId="7" fillId="3" borderId="3" xfId="0" applyNumberFormat="1" applyFont="1" applyFill="1" applyBorder="1" applyAlignment="1">
      <alignment/>
    </xf>
    <xf numFmtId="10" fontId="7" fillId="0" borderId="17" xfId="0" applyNumberFormat="1" applyFont="1" applyBorder="1" applyAlignment="1">
      <alignment/>
    </xf>
    <xf numFmtId="10" fontId="12" fillId="0" borderId="17" xfId="0" applyNumberFormat="1" applyFont="1" applyBorder="1" applyAlignment="1">
      <alignment/>
    </xf>
    <xf numFmtId="10" fontId="7" fillId="3" borderId="18" xfId="0" applyNumberFormat="1" applyFont="1" applyFill="1" applyBorder="1" applyAlignment="1">
      <alignment/>
    </xf>
    <xf numFmtId="10" fontId="7" fillId="0" borderId="19" xfId="0" applyNumberFormat="1" applyFont="1" applyBorder="1" applyAlignment="1">
      <alignment/>
    </xf>
    <xf numFmtId="10" fontId="12" fillId="0" borderId="20" xfId="0" applyNumberFormat="1" applyFont="1" applyBorder="1" applyAlignment="1">
      <alignment/>
    </xf>
    <xf numFmtId="10" fontId="7" fillId="3" borderId="17" xfId="0" applyNumberFormat="1" applyFont="1" applyFill="1" applyBorder="1" applyAlignment="1">
      <alignment/>
    </xf>
    <xf numFmtId="10" fontId="12" fillId="0" borderId="25" xfId="0" applyNumberFormat="1" applyFont="1" applyBorder="1" applyAlignment="1">
      <alignment/>
    </xf>
    <xf numFmtId="10" fontId="12" fillId="0" borderId="26" xfId="0" applyNumberFormat="1" applyFont="1" applyBorder="1" applyAlignment="1">
      <alignment/>
    </xf>
    <xf numFmtId="10" fontId="12" fillId="0" borderId="3" xfId="0" applyNumberFormat="1" applyFont="1" applyBorder="1" applyAlignment="1">
      <alignment/>
    </xf>
    <xf numFmtId="10" fontId="7" fillId="0" borderId="3" xfId="0" applyNumberFormat="1" applyFont="1" applyBorder="1" applyAlignment="1">
      <alignment/>
    </xf>
    <xf numFmtId="10" fontId="12" fillId="0" borderId="5" xfId="0" applyNumberFormat="1" applyFont="1" applyBorder="1" applyAlignment="1">
      <alignment/>
    </xf>
    <xf numFmtId="10" fontId="12" fillId="0" borderId="23" xfId="0" applyNumberFormat="1" applyFont="1" applyBorder="1" applyAlignment="1">
      <alignment/>
    </xf>
    <xf numFmtId="10" fontId="7" fillId="2" borderId="3" xfId="0" applyNumberFormat="1" applyFont="1" applyFill="1" applyBorder="1" applyAlignment="1">
      <alignment/>
    </xf>
    <xf numFmtId="10" fontId="12" fillId="2" borderId="3" xfId="0" applyNumberFormat="1" applyFont="1" applyFill="1" applyBorder="1" applyAlignment="1">
      <alignment/>
    </xf>
    <xf numFmtId="10" fontId="12" fillId="2" borderId="25" xfId="0" applyNumberFormat="1" applyFont="1" applyFill="1" applyBorder="1" applyAlignment="1">
      <alignment/>
    </xf>
    <xf numFmtId="10" fontId="12" fillId="2" borderId="26" xfId="0" applyNumberFormat="1" applyFont="1" applyFill="1" applyBorder="1" applyAlignment="1">
      <alignment/>
    </xf>
    <xf numFmtId="10" fontId="12" fillId="2" borderId="23" xfId="0" applyNumberFormat="1" applyFont="1" applyFill="1" applyBorder="1" applyAlignment="1">
      <alignment/>
    </xf>
    <xf numFmtId="10" fontId="7" fillId="0" borderId="7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10" fontId="12" fillId="0" borderId="0" xfId="0" applyNumberFormat="1" applyFont="1" applyAlignment="1">
      <alignment/>
    </xf>
    <xf numFmtId="1" fontId="10" fillId="0" borderId="16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Continuous" vertical="center"/>
    </xf>
    <xf numFmtId="10" fontId="4" fillId="0" borderId="1" xfId="0" applyNumberFormat="1" applyFont="1" applyBorder="1" applyAlignment="1">
      <alignment horizontal="centerContinuous" vertical="center"/>
    </xf>
    <xf numFmtId="10" fontId="7" fillId="0" borderId="2" xfId="0" applyNumberFormat="1" applyFont="1" applyBorder="1" applyAlignment="1">
      <alignment horizontal="centerContinuous" vertical="center"/>
    </xf>
    <xf numFmtId="3" fontId="0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12" fillId="2" borderId="26" xfId="0" applyFont="1" applyFill="1" applyBorder="1" applyAlignment="1">
      <alignment wrapText="1"/>
    </xf>
    <xf numFmtId="10" fontId="12" fillId="0" borderId="3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12" fillId="0" borderId="31" xfId="0" applyFont="1" applyBorder="1" applyAlignment="1">
      <alignment wrapText="1"/>
    </xf>
    <xf numFmtId="3" fontId="12" fillId="0" borderId="31" xfId="0" applyNumberFormat="1" applyFont="1" applyBorder="1" applyAlignment="1">
      <alignment/>
    </xf>
    <xf numFmtId="0" fontId="12" fillId="2" borderId="17" xfId="0" applyFont="1" applyFill="1" applyBorder="1" applyAlignment="1">
      <alignment wrapText="1"/>
    </xf>
    <xf numFmtId="10" fontId="12" fillId="0" borderId="31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12" fillId="0" borderId="32" xfId="0" applyFont="1" applyBorder="1" applyAlignment="1">
      <alignment wrapText="1"/>
    </xf>
    <xf numFmtId="3" fontId="12" fillId="0" borderId="32" xfId="0" applyNumberFormat="1" applyFont="1" applyBorder="1" applyAlignment="1">
      <alignment/>
    </xf>
    <xf numFmtId="10" fontId="12" fillId="0" borderId="32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3" xfId="0" applyFont="1" applyBorder="1" applyAlignment="1">
      <alignment/>
    </xf>
    <xf numFmtId="3" fontId="12" fillId="0" borderId="33" xfId="0" applyNumberFormat="1" applyFont="1" applyBorder="1" applyAlignment="1">
      <alignment/>
    </xf>
    <xf numFmtId="10" fontId="12" fillId="0" borderId="33" xfId="0" applyNumberFormat="1" applyFont="1" applyBorder="1" applyAlignment="1">
      <alignment/>
    </xf>
    <xf numFmtId="0" fontId="12" fillId="0" borderId="34" xfId="0" applyFont="1" applyBorder="1" applyAlignment="1">
      <alignment wrapText="1"/>
    </xf>
    <xf numFmtId="3" fontId="12" fillId="0" borderId="34" xfId="0" applyNumberFormat="1" applyFont="1" applyBorder="1" applyAlignment="1">
      <alignment/>
    </xf>
    <xf numFmtId="10" fontId="12" fillId="0" borderId="34" xfId="0" applyNumberFormat="1" applyFont="1" applyBorder="1" applyAlignment="1">
      <alignment/>
    </xf>
    <xf numFmtId="0" fontId="12" fillId="0" borderId="35" xfId="0" applyFont="1" applyBorder="1" applyAlignment="1">
      <alignment/>
    </xf>
    <xf numFmtId="3" fontId="12" fillId="0" borderId="35" xfId="0" applyNumberFormat="1" applyFont="1" applyBorder="1" applyAlignment="1">
      <alignment/>
    </xf>
    <xf numFmtId="10" fontId="12" fillId="0" borderId="35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0" fontId="12" fillId="0" borderId="30" xfId="0" applyFont="1" applyBorder="1" applyAlignment="1">
      <alignment/>
    </xf>
    <xf numFmtId="3" fontId="13" fillId="2" borderId="3" xfId="0" applyNumberFormat="1" applyFont="1" applyFill="1" applyBorder="1" applyAlignment="1">
      <alignment/>
    </xf>
    <xf numFmtId="3" fontId="12" fillId="0" borderId="24" xfId="0" applyNumberFormat="1" applyFont="1" applyBorder="1" applyAlignment="1">
      <alignment/>
    </xf>
    <xf numFmtId="10" fontId="12" fillId="0" borderId="24" xfId="0" applyNumberFormat="1" applyFont="1" applyBorder="1" applyAlignment="1">
      <alignment/>
    </xf>
    <xf numFmtId="0" fontId="12" fillId="0" borderId="36" xfId="0" applyFont="1" applyBorder="1" applyAlignment="1">
      <alignment/>
    </xf>
    <xf numFmtId="3" fontId="12" fillId="0" borderId="36" xfId="0" applyNumberFormat="1" applyFont="1" applyBorder="1" applyAlignment="1">
      <alignment/>
    </xf>
    <xf numFmtId="10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/>
    </xf>
    <xf numFmtId="3" fontId="12" fillId="0" borderId="37" xfId="0" applyNumberFormat="1" applyFont="1" applyBorder="1" applyAlignment="1">
      <alignment/>
    </xf>
    <xf numFmtId="10" fontId="12" fillId="0" borderId="37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6" xfId="0" applyFont="1" applyBorder="1" applyAlignment="1">
      <alignment wrapText="1"/>
    </xf>
    <xf numFmtId="0" fontId="12" fillId="0" borderId="39" xfId="0" applyFont="1" applyBorder="1" applyAlignment="1">
      <alignment/>
    </xf>
    <xf numFmtId="3" fontId="12" fillId="0" borderId="39" xfId="0" applyNumberFormat="1" applyFont="1" applyBorder="1" applyAlignment="1">
      <alignment/>
    </xf>
    <xf numFmtId="10" fontId="12" fillId="0" borderId="39" xfId="0" applyNumberFormat="1" applyFont="1" applyBorder="1" applyAlignment="1">
      <alignment/>
    </xf>
    <xf numFmtId="0" fontId="12" fillId="0" borderId="40" xfId="0" applyFont="1" applyBorder="1" applyAlignment="1">
      <alignment wrapText="1"/>
    </xf>
    <xf numFmtId="3" fontId="12" fillId="0" borderId="40" xfId="0" applyNumberFormat="1" applyFont="1" applyBorder="1" applyAlignment="1">
      <alignment/>
    </xf>
    <xf numFmtId="10" fontId="12" fillId="0" borderId="40" xfId="0" applyNumberFormat="1" applyFont="1" applyBorder="1" applyAlignment="1">
      <alignment/>
    </xf>
    <xf numFmtId="0" fontId="12" fillId="0" borderId="39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3" fontId="13" fillId="0" borderId="30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0" fontId="12" fillId="0" borderId="41" xfId="0" applyFont="1" applyBorder="1" applyAlignment="1">
      <alignment/>
    </xf>
    <xf numFmtId="3" fontId="12" fillId="0" borderId="41" xfId="0" applyNumberFormat="1" applyFont="1" applyBorder="1" applyAlignment="1">
      <alignment/>
    </xf>
    <xf numFmtId="10" fontId="12" fillId="0" borderId="41" xfId="0" applyNumberFormat="1" applyFont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22</xdr:row>
      <xdr:rowOff>0</xdr:rowOff>
    </xdr:from>
    <xdr:to>
      <xdr:col>1</xdr:col>
      <xdr:colOff>438150</xdr:colOff>
      <xdr:row>22</xdr:row>
      <xdr:rowOff>0</xdr:rowOff>
    </xdr:to>
    <xdr:sp>
      <xdr:nvSpPr>
        <xdr:cNvPr id="1" name="Arc 1"/>
        <xdr:cNvSpPr>
          <a:spLocks/>
        </xdr:cNvSpPr>
      </xdr:nvSpPr>
      <xdr:spPr>
        <a:xfrm>
          <a:off x="847725" y="55816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71550" y="55816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8"/>
  <sheetViews>
    <sheetView tabSelected="1" zoomScale="75" zoomScaleNormal="75" workbookViewId="0" topLeftCell="A1">
      <selection activeCell="F542" sqref="F542"/>
    </sheetView>
  </sheetViews>
  <sheetFormatPr defaultColWidth="9.00390625" defaultRowHeight="12.75"/>
  <cols>
    <col min="1" max="1" width="5.375" style="3" customWidth="1"/>
    <col min="2" max="2" width="7.375" style="3" customWidth="1"/>
    <col min="3" max="3" width="65.25390625" style="3" customWidth="1"/>
    <col min="4" max="8" width="15.75390625" style="6" customWidth="1"/>
    <col min="9" max="9" width="10.75390625" style="125" customWidth="1"/>
    <col min="10" max="10" width="15.375" style="3" customWidth="1"/>
    <col min="11" max="11" width="7.875" style="3" customWidth="1"/>
    <col min="12" max="12" width="10.875" style="3" bestFit="1" customWidth="1"/>
    <col min="13" max="16384" width="7.875" style="3" customWidth="1"/>
  </cols>
  <sheetData>
    <row r="1" ht="19.5" customHeight="1">
      <c r="H1" s="117" t="s">
        <v>319</v>
      </c>
    </row>
    <row r="2" ht="19.5" customHeight="1">
      <c r="H2" s="117" t="s">
        <v>320</v>
      </c>
    </row>
    <row r="3" spans="3:8" ht="19.5" customHeight="1">
      <c r="C3" s="26" t="s">
        <v>261</v>
      </c>
      <c r="H3" s="117" t="s">
        <v>206</v>
      </c>
    </row>
    <row r="4" spans="3:8" ht="19.5" customHeight="1">
      <c r="C4" s="4"/>
      <c r="H4" s="117" t="s">
        <v>98</v>
      </c>
    </row>
    <row r="5" ht="15.75">
      <c r="C5" s="4"/>
    </row>
    <row r="6" spans="8:9" ht="15.75" thickBot="1">
      <c r="H6" s="16" t="s">
        <v>15</v>
      </c>
      <c r="I6" s="126"/>
    </row>
    <row r="7" spans="1:9" ht="17.25" customHeight="1" thickBot="1" thickTop="1">
      <c r="A7" s="1"/>
      <c r="B7" s="1"/>
      <c r="C7" s="2"/>
      <c r="D7" s="8"/>
      <c r="E7" s="8"/>
      <c r="F7" s="39" t="s">
        <v>9</v>
      </c>
      <c r="G7" s="27"/>
      <c r="H7" s="27"/>
      <c r="I7" s="153"/>
    </row>
    <row r="8" spans="1:9" ht="22.5" customHeight="1" thickBot="1" thickTop="1">
      <c r="A8" s="37"/>
      <c r="B8" s="37"/>
      <c r="C8" s="30" t="s">
        <v>0</v>
      </c>
      <c r="D8" s="31" t="s">
        <v>1</v>
      </c>
      <c r="E8" s="32" t="s">
        <v>8</v>
      </c>
      <c r="F8" s="33" t="s">
        <v>215</v>
      </c>
      <c r="G8" s="38"/>
      <c r="H8" s="152" t="s">
        <v>12</v>
      </c>
      <c r="I8" s="154" t="s">
        <v>2</v>
      </c>
    </row>
    <row r="9" spans="1:9" ht="36.75" customHeight="1" thickBot="1" thickTop="1">
      <c r="A9" s="9" t="s">
        <v>143</v>
      </c>
      <c r="B9" s="9" t="s">
        <v>3</v>
      </c>
      <c r="C9" s="25" t="s">
        <v>97</v>
      </c>
      <c r="D9" s="34" t="s">
        <v>262</v>
      </c>
      <c r="E9" s="35" t="s">
        <v>263</v>
      </c>
      <c r="F9" s="36" t="s">
        <v>10</v>
      </c>
      <c r="G9" s="36" t="s">
        <v>11</v>
      </c>
      <c r="H9" s="36" t="s">
        <v>13</v>
      </c>
      <c r="I9" s="127" t="s">
        <v>101</v>
      </c>
    </row>
    <row r="10" spans="1:9" s="49" customFormat="1" ht="14.25" customHeight="1" thickBot="1" thickTop="1">
      <c r="A10" s="47">
        <v>1</v>
      </c>
      <c r="B10" s="47">
        <v>2</v>
      </c>
      <c r="C10" s="47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151">
        <v>9</v>
      </c>
    </row>
    <row r="11" spans="1:12" s="7" customFormat="1" ht="24.75" customHeight="1" thickBot="1" thickTop="1">
      <c r="A11" s="11"/>
      <c r="B11" s="11"/>
      <c r="C11" s="164" t="s">
        <v>172</v>
      </c>
      <c r="D11" s="40">
        <f>D13+D422+D445</f>
        <v>743263573</v>
      </c>
      <c r="E11" s="40">
        <f>E13+E422+E445</f>
        <v>769092731</v>
      </c>
      <c r="F11" s="40">
        <f>F13+F422+F445</f>
        <v>684458831</v>
      </c>
      <c r="G11" s="40">
        <f>G13+G422+G445</f>
        <v>13398100</v>
      </c>
      <c r="H11" s="40">
        <f>H13+H422+H445</f>
        <v>84633900</v>
      </c>
      <c r="I11" s="41">
        <f>E11/D11</f>
        <v>1.0347510075002693</v>
      </c>
      <c r="L11" s="155"/>
    </row>
    <row r="12" spans="1:9" s="7" customFormat="1" ht="19.5" customHeight="1">
      <c r="A12" s="12"/>
      <c r="B12" s="12"/>
      <c r="C12" s="15" t="s">
        <v>9</v>
      </c>
      <c r="D12" s="13"/>
      <c r="E12" s="14"/>
      <c r="F12" s="13"/>
      <c r="G12" s="13"/>
      <c r="H12" s="13"/>
      <c r="I12" s="29"/>
    </row>
    <row r="13" spans="1:12" s="7" customFormat="1" ht="19.5" customHeight="1" thickBot="1">
      <c r="A13" s="10"/>
      <c r="B13" s="10"/>
      <c r="C13" s="17" t="s">
        <v>14</v>
      </c>
      <c r="D13" s="28">
        <f>D14+D17+D20+D23+D40+D47+D62+D73+D87+D103+D106+D110+D123+D217+D231+D283+D297+D348+D383+D409</f>
        <v>678142743</v>
      </c>
      <c r="E13" s="28">
        <f>E14+E17+E20+E23+E40+E47+E62+E73+E87+E103+E106+E110+E123+E217+E231+E283+E297+E348+E383+E409</f>
        <v>687329995</v>
      </c>
      <c r="F13" s="28">
        <f>F14+F17+F20+F23+F40+F47+F62+F73+F87+F103+F106+F110+F123+F217+F231+F283+F297+F348+F383+F409</f>
        <v>602723095</v>
      </c>
      <c r="G13" s="28">
        <f>G14+G17+G20+G23+G40+G47+G62+G73+G87+G103+G106+G110+G123+G217+G231+G283+G297+G348+G383+G409</f>
        <v>13255000</v>
      </c>
      <c r="H13" s="28">
        <f>H14+H17+H20+H23+H40+H47+H62+H73+H87+H103+H106+H110+H123+H217+H231+H283+H297+H348+H383+H409</f>
        <v>84606900</v>
      </c>
      <c r="I13" s="128">
        <f aca="true" t="shared" si="0" ref="I13:I71">E13/D13</f>
        <v>1.0135476669105932</v>
      </c>
      <c r="L13" s="155"/>
    </row>
    <row r="14" spans="1:9" s="7" customFormat="1" ht="19.5" customHeight="1" thickTop="1">
      <c r="A14" s="121" t="s">
        <v>85</v>
      </c>
      <c r="B14" s="50"/>
      <c r="C14" s="51" t="s">
        <v>86</v>
      </c>
      <c r="D14" s="52">
        <f aca="true" t="shared" si="1" ref="D14:F15">D15</f>
        <v>15000</v>
      </c>
      <c r="E14" s="52">
        <f t="shared" si="1"/>
        <v>15000</v>
      </c>
      <c r="F14" s="52">
        <f t="shared" si="1"/>
        <v>15000</v>
      </c>
      <c r="G14" s="52"/>
      <c r="H14" s="52"/>
      <c r="I14" s="129">
        <f t="shared" si="0"/>
        <v>1</v>
      </c>
    </row>
    <row r="15" spans="1:9" s="43" customFormat="1" ht="19.5" customHeight="1">
      <c r="A15" s="54"/>
      <c r="B15" s="122" t="s">
        <v>156</v>
      </c>
      <c r="C15" s="55" t="s">
        <v>157</v>
      </c>
      <c r="D15" s="56">
        <f t="shared" si="1"/>
        <v>15000</v>
      </c>
      <c r="E15" s="56">
        <f t="shared" si="1"/>
        <v>15000</v>
      </c>
      <c r="F15" s="56">
        <f t="shared" si="1"/>
        <v>15000</v>
      </c>
      <c r="G15" s="56"/>
      <c r="H15" s="56"/>
      <c r="I15" s="130">
        <f t="shared" si="0"/>
        <v>1</v>
      </c>
    </row>
    <row r="16" spans="1:9" s="44" customFormat="1" ht="19.5" customHeight="1">
      <c r="A16" s="58"/>
      <c r="B16" s="58"/>
      <c r="C16" s="87" t="s">
        <v>158</v>
      </c>
      <c r="D16" s="88">
        <v>15000</v>
      </c>
      <c r="E16" s="88">
        <v>15000</v>
      </c>
      <c r="F16" s="119">
        <v>15000</v>
      </c>
      <c r="G16" s="120"/>
      <c r="H16" s="88"/>
      <c r="I16" s="131">
        <f t="shared" si="0"/>
        <v>1</v>
      </c>
    </row>
    <row r="17" spans="1:9" s="7" customFormat="1" ht="19.5" customHeight="1">
      <c r="A17" s="123" t="s">
        <v>88</v>
      </c>
      <c r="B17" s="50"/>
      <c r="C17" s="51" t="s">
        <v>89</v>
      </c>
      <c r="D17" s="52">
        <f aca="true" t="shared" si="2" ref="D17:F18">D18</f>
        <v>5000</v>
      </c>
      <c r="E17" s="52">
        <f t="shared" si="2"/>
        <v>5310</v>
      </c>
      <c r="F17" s="52">
        <f t="shared" si="2"/>
        <v>5310</v>
      </c>
      <c r="G17" s="52"/>
      <c r="H17" s="52"/>
      <c r="I17" s="129">
        <f t="shared" si="0"/>
        <v>1.062</v>
      </c>
    </row>
    <row r="18" spans="1:9" s="43" customFormat="1" ht="19.5" customHeight="1">
      <c r="A18" s="54"/>
      <c r="B18" s="122" t="s">
        <v>153</v>
      </c>
      <c r="C18" s="55" t="s">
        <v>167</v>
      </c>
      <c r="D18" s="56">
        <f t="shared" si="2"/>
        <v>5000</v>
      </c>
      <c r="E18" s="56">
        <f t="shared" si="2"/>
        <v>5310</v>
      </c>
      <c r="F18" s="56">
        <f t="shared" si="2"/>
        <v>5310</v>
      </c>
      <c r="G18" s="56"/>
      <c r="H18" s="56"/>
      <c r="I18" s="130">
        <f t="shared" si="0"/>
        <v>1.062</v>
      </c>
    </row>
    <row r="19" spans="1:9" s="44" customFormat="1" ht="19.5" customHeight="1">
      <c r="A19" s="58"/>
      <c r="B19" s="58"/>
      <c r="C19" s="87" t="s">
        <v>90</v>
      </c>
      <c r="D19" s="88">
        <v>5000</v>
      </c>
      <c r="E19" s="88">
        <v>5310</v>
      </c>
      <c r="F19" s="119">
        <v>5310</v>
      </c>
      <c r="G19" s="120"/>
      <c r="H19" s="88"/>
      <c r="I19" s="131">
        <f t="shared" si="0"/>
        <v>1.062</v>
      </c>
    </row>
    <row r="20" spans="1:9" s="7" customFormat="1" ht="19.5" customHeight="1">
      <c r="A20" s="50">
        <v>500</v>
      </c>
      <c r="B20" s="50"/>
      <c r="C20" s="51" t="s">
        <v>7</v>
      </c>
      <c r="D20" s="52">
        <f>D21</f>
        <v>4800</v>
      </c>
      <c r="E20" s="53">
        <f>E21</f>
        <v>4800</v>
      </c>
      <c r="F20" s="53">
        <f>F21</f>
        <v>4800</v>
      </c>
      <c r="G20" s="53"/>
      <c r="H20" s="53"/>
      <c r="I20" s="132">
        <f t="shared" si="0"/>
        <v>1</v>
      </c>
    </row>
    <row r="21" spans="1:9" s="43" customFormat="1" ht="19.5" customHeight="1">
      <c r="A21" s="54"/>
      <c r="B21" s="55">
        <v>50095</v>
      </c>
      <c r="C21" s="55" t="s">
        <v>4</v>
      </c>
      <c r="D21" s="56">
        <f>SUM(D22:D22)</f>
        <v>4800</v>
      </c>
      <c r="E21" s="57">
        <f>SUM(E22:E22)</f>
        <v>4800</v>
      </c>
      <c r="F21" s="57">
        <f>SUM(F22:F22)</f>
        <v>4800</v>
      </c>
      <c r="G21" s="57"/>
      <c r="H21" s="57"/>
      <c r="I21" s="133">
        <f t="shared" si="0"/>
        <v>1</v>
      </c>
    </row>
    <row r="22" spans="1:9" s="44" customFormat="1" ht="19.5" customHeight="1">
      <c r="A22" s="58"/>
      <c r="B22" s="58"/>
      <c r="C22" s="59" t="s">
        <v>5</v>
      </c>
      <c r="D22" s="60">
        <v>4800</v>
      </c>
      <c r="E22" s="71">
        <v>4800</v>
      </c>
      <c r="F22" s="61">
        <v>4800</v>
      </c>
      <c r="G22" s="62"/>
      <c r="H22" s="60"/>
      <c r="I22" s="134">
        <f t="shared" si="0"/>
        <v>1</v>
      </c>
    </row>
    <row r="23" spans="1:9" s="7" customFormat="1" ht="19.5" customHeight="1">
      <c r="A23" s="50">
        <v>600</v>
      </c>
      <c r="B23" s="65"/>
      <c r="C23" s="66" t="s">
        <v>159</v>
      </c>
      <c r="D23" s="67">
        <f>D24+D29+D34+D38</f>
        <v>55111015</v>
      </c>
      <c r="E23" s="67">
        <f>E24+E29+E34+E38</f>
        <v>57774724</v>
      </c>
      <c r="F23" s="67">
        <f>F24+F29+F34+F38</f>
        <v>28679724</v>
      </c>
      <c r="G23" s="67">
        <f>G24+G29+G34+G38</f>
        <v>4400000</v>
      </c>
      <c r="H23" s="67">
        <f>H24+H29+H34+H38</f>
        <v>29095000</v>
      </c>
      <c r="I23" s="135">
        <f t="shared" si="0"/>
        <v>1.048333513726793</v>
      </c>
    </row>
    <row r="24" spans="1:9" s="45" customFormat="1" ht="19.5" customHeight="1">
      <c r="A24" s="68"/>
      <c r="B24" s="55">
        <v>60004</v>
      </c>
      <c r="C24" s="55" t="s">
        <v>16</v>
      </c>
      <c r="D24" s="56">
        <f>SUM(D25:D28)</f>
        <v>14781191</v>
      </c>
      <c r="E24" s="56">
        <f>SUM(E25:E28)</f>
        <v>17179724</v>
      </c>
      <c r="F24" s="56">
        <f>SUM(F25:F28)</f>
        <v>16879724</v>
      </c>
      <c r="G24" s="56"/>
      <c r="H24" s="56">
        <f>SUM(H25:H28)</f>
        <v>300000</v>
      </c>
      <c r="I24" s="130">
        <f t="shared" si="0"/>
        <v>1.1622692650409565</v>
      </c>
    </row>
    <row r="25" spans="1:9" s="45" customFormat="1" ht="19.5" customHeight="1">
      <c r="A25" s="68"/>
      <c r="B25" s="69"/>
      <c r="C25" s="70" t="s">
        <v>102</v>
      </c>
      <c r="D25" s="71">
        <v>5600000</v>
      </c>
      <c r="E25" s="71">
        <v>6000000</v>
      </c>
      <c r="F25" s="71">
        <v>6000000</v>
      </c>
      <c r="G25" s="71"/>
      <c r="H25" s="71"/>
      <c r="I25" s="136">
        <f t="shared" si="0"/>
        <v>1.0714285714285714</v>
      </c>
    </row>
    <row r="26" spans="1:9" s="45" customFormat="1" ht="19.5" customHeight="1">
      <c r="A26" s="68"/>
      <c r="B26" s="68"/>
      <c r="C26" s="78" t="s">
        <v>197</v>
      </c>
      <c r="D26" s="77">
        <v>9145191</v>
      </c>
      <c r="E26" s="77">
        <v>10879724</v>
      </c>
      <c r="F26" s="77">
        <v>10879724</v>
      </c>
      <c r="G26" s="77"/>
      <c r="H26" s="77"/>
      <c r="I26" s="137">
        <f t="shared" si="0"/>
        <v>1.1896661316313677</v>
      </c>
    </row>
    <row r="27" spans="1:9" s="45" customFormat="1" ht="19.5" customHeight="1">
      <c r="A27" s="68"/>
      <c r="B27" s="68"/>
      <c r="C27" s="97" t="s">
        <v>265</v>
      </c>
      <c r="D27" s="60">
        <v>36000</v>
      </c>
      <c r="E27" s="60"/>
      <c r="F27" s="60"/>
      <c r="G27" s="60"/>
      <c r="H27" s="60"/>
      <c r="I27" s="134"/>
    </row>
    <row r="28" spans="1:9" s="7" customFormat="1" ht="19.5" customHeight="1">
      <c r="A28" s="68"/>
      <c r="B28" s="72"/>
      <c r="C28" s="72" t="s">
        <v>6</v>
      </c>
      <c r="D28" s="73"/>
      <c r="E28" s="73">
        <v>300000</v>
      </c>
      <c r="F28" s="73"/>
      <c r="G28" s="73"/>
      <c r="H28" s="73">
        <v>300000</v>
      </c>
      <c r="I28" s="138"/>
    </row>
    <row r="29" spans="1:9" s="45" customFormat="1" ht="19.5" customHeight="1">
      <c r="A29" s="68"/>
      <c r="B29" s="74">
        <v>60015</v>
      </c>
      <c r="C29" s="74" t="s">
        <v>17</v>
      </c>
      <c r="D29" s="75">
        <f>SUM(D30:D33)</f>
        <v>36189428</v>
      </c>
      <c r="E29" s="75">
        <f>SUM(E30:E33)</f>
        <v>34750000</v>
      </c>
      <c r="F29" s="75">
        <f>SUM(F30:F33)</f>
        <v>8300000</v>
      </c>
      <c r="G29" s="75">
        <f>SUM(G30:G33)</f>
        <v>3400000</v>
      </c>
      <c r="H29" s="75">
        <f>SUM(H30:H33)</f>
        <v>26450000</v>
      </c>
      <c r="I29" s="139">
        <f t="shared" si="0"/>
        <v>0.9602251795745431</v>
      </c>
    </row>
    <row r="30" spans="1:9" s="45" customFormat="1" ht="19.5" customHeight="1">
      <c r="A30" s="68"/>
      <c r="B30" s="69"/>
      <c r="C30" s="70" t="s">
        <v>20</v>
      </c>
      <c r="D30" s="71">
        <v>4820000</v>
      </c>
      <c r="E30" s="71">
        <v>4900000</v>
      </c>
      <c r="F30" s="71">
        <v>4900000</v>
      </c>
      <c r="G30" s="71"/>
      <c r="H30" s="71"/>
      <c r="I30" s="136">
        <f t="shared" si="0"/>
        <v>1.016597510373444</v>
      </c>
    </row>
    <row r="31" spans="1:9" s="45" customFormat="1" ht="19.5" customHeight="1">
      <c r="A31" s="72"/>
      <c r="B31" s="72"/>
      <c r="C31" s="82" t="s">
        <v>19</v>
      </c>
      <c r="D31" s="64">
        <v>1915700</v>
      </c>
      <c r="E31" s="64">
        <v>3000000</v>
      </c>
      <c r="F31" s="64">
        <v>3000000</v>
      </c>
      <c r="G31" s="64">
        <v>3000000</v>
      </c>
      <c r="H31" s="64"/>
      <c r="I31" s="141">
        <f t="shared" si="0"/>
        <v>1.5660072036331367</v>
      </c>
    </row>
    <row r="32" spans="1:9" s="45" customFormat="1" ht="19.5" customHeight="1">
      <c r="A32" s="68"/>
      <c r="B32" s="68"/>
      <c r="C32" s="97" t="s">
        <v>276</v>
      </c>
      <c r="D32" s="60"/>
      <c r="E32" s="60">
        <v>400000</v>
      </c>
      <c r="F32" s="60">
        <v>400000</v>
      </c>
      <c r="G32" s="60">
        <v>400000</v>
      </c>
      <c r="H32" s="60"/>
      <c r="I32" s="134"/>
    </row>
    <row r="33" spans="1:9" s="7" customFormat="1" ht="19.5" customHeight="1">
      <c r="A33" s="68"/>
      <c r="B33" s="72"/>
      <c r="C33" s="72" t="s">
        <v>6</v>
      </c>
      <c r="D33" s="73">
        <v>29453728</v>
      </c>
      <c r="E33" s="73">
        <v>26450000</v>
      </c>
      <c r="F33" s="73"/>
      <c r="G33" s="73"/>
      <c r="H33" s="73">
        <v>26450000</v>
      </c>
      <c r="I33" s="138">
        <f t="shared" si="0"/>
        <v>0.8980187499524678</v>
      </c>
    </row>
    <row r="34" spans="1:9" s="7" customFormat="1" ht="19.5" customHeight="1">
      <c r="A34" s="68"/>
      <c r="B34" s="74">
        <v>60016</v>
      </c>
      <c r="C34" s="74" t="s">
        <v>18</v>
      </c>
      <c r="D34" s="75">
        <f>SUM(D35:D37)</f>
        <v>3990396</v>
      </c>
      <c r="E34" s="75">
        <f>SUM(E35:E37)</f>
        <v>5645000</v>
      </c>
      <c r="F34" s="75">
        <f>SUM(F35:F37)</f>
        <v>3300000</v>
      </c>
      <c r="G34" s="75">
        <f>SUM(G35:G37)</f>
        <v>1000000</v>
      </c>
      <c r="H34" s="75">
        <f>SUM(H35:H37)</f>
        <v>2345000</v>
      </c>
      <c r="I34" s="139">
        <f t="shared" si="0"/>
        <v>1.4146465664059407</v>
      </c>
    </row>
    <row r="35" spans="1:9" s="7" customFormat="1" ht="19.5" customHeight="1">
      <c r="A35" s="68"/>
      <c r="B35" s="68"/>
      <c r="C35" s="70" t="s">
        <v>20</v>
      </c>
      <c r="D35" s="71">
        <v>2232150</v>
      </c>
      <c r="E35" s="71">
        <v>2300000</v>
      </c>
      <c r="F35" s="71">
        <v>2300000</v>
      </c>
      <c r="G35" s="71"/>
      <c r="H35" s="71"/>
      <c r="I35" s="136">
        <f t="shared" si="0"/>
        <v>1.0303967027305512</v>
      </c>
    </row>
    <row r="36" spans="1:9" s="7" customFormat="1" ht="19.5" customHeight="1">
      <c r="A36" s="68"/>
      <c r="B36" s="68"/>
      <c r="C36" s="78" t="s">
        <v>19</v>
      </c>
      <c r="D36" s="77">
        <v>700000</v>
      </c>
      <c r="E36" s="77">
        <v>1000000</v>
      </c>
      <c r="F36" s="77">
        <v>1000000</v>
      </c>
      <c r="G36" s="77">
        <v>1000000</v>
      </c>
      <c r="H36" s="77"/>
      <c r="I36" s="137">
        <f t="shared" si="0"/>
        <v>1.4285714285714286</v>
      </c>
    </row>
    <row r="37" spans="1:9" s="7" customFormat="1" ht="19.5" customHeight="1">
      <c r="A37" s="68"/>
      <c r="B37" s="72"/>
      <c r="C37" s="72" t="s">
        <v>6</v>
      </c>
      <c r="D37" s="73">
        <v>1058246</v>
      </c>
      <c r="E37" s="73">
        <v>2345000</v>
      </c>
      <c r="F37" s="73"/>
      <c r="G37" s="73"/>
      <c r="H37" s="73">
        <v>2345000</v>
      </c>
      <c r="I37" s="138">
        <f t="shared" si="0"/>
        <v>2.2159308894151266</v>
      </c>
    </row>
    <row r="38" spans="1:9" s="7" customFormat="1" ht="19.5" customHeight="1">
      <c r="A38" s="68"/>
      <c r="B38" s="74">
        <v>60017</v>
      </c>
      <c r="C38" s="74" t="s">
        <v>160</v>
      </c>
      <c r="D38" s="75">
        <f>D39</f>
        <v>150000</v>
      </c>
      <c r="E38" s="75">
        <f>E39</f>
        <v>200000</v>
      </c>
      <c r="F38" s="75">
        <f>F39</f>
        <v>200000</v>
      </c>
      <c r="G38" s="75"/>
      <c r="H38" s="75"/>
      <c r="I38" s="139">
        <f t="shared" si="0"/>
        <v>1.3333333333333333</v>
      </c>
    </row>
    <row r="39" spans="1:9" s="7" customFormat="1" ht="19.5" customHeight="1">
      <c r="A39" s="72"/>
      <c r="B39" s="86"/>
      <c r="C39" s="86" t="s">
        <v>20</v>
      </c>
      <c r="D39" s="88">
        <v>150000</v>
      </c>
      <c r="E39" s="88">
        <v>200000</v>
      </c>
      <c r="F39" s="88">
        <v>200000</v>
      </c>
      <c r="G39" s="88"/>
      <c r="H39" s="88"/>
      <c r="I39" s="131">
        <f t="shared" si="0"/>
        <v>1.3333333333333333</v>
      </c>
    </row>
    <row r="40" spans="1:9" s="7" customFormat="1" ht="19.5" customHeight="1">
      <c r="A40" s="51">
        <v>630</v>
      </c>
      <c r="B40" s="51"/>
      <c r="C40" s="51" t="s">
        <v>21</v>
      </c>
      <c r="D40" s="52">
        <f>D41+D43</f>
        <v>371892</v>
      </c>
      <c r="E40" s="52">
        <f>E41+E43</f>
        <v>345000</v>
      </c>
      <c r="F40" s="52">
        <f>F41+F43</f>
        <v>345000</v>
      </c>
      <c r="G40" s="52"/>
      <c r="H40" s="52"/>
      <c r="I40" s="129">
        <f t="shared" si="0"/>
        <v>0.9276886838114291</v>
      </c>
    </row>
    <row r="41" spans="1:9" s="7" customFormat="1" ht="19.5" customHeight="1">
      <c r="A41" s="68"/>
      <c r="B41" s="55">
        <v>63001</v>
      </c>
      <c r="C41" s="55" t="s">
        <v>22</v>
      </c>
      <c r="D41" s="56">
        <f>D42</f>
        <v>160000</v>
      </c>
      <c r="E41" s="56">
        <f>E42</f>
        <v>155000</v>
      </c>
      <c r="F41" s="56">
        <f>F42</f>
        <v>155000</v>
      </c>
      <c r="G41" s="56"/>
      <c r="H41" s="56"/>
      <c r="I41" s="130">
        <f t="shared" si="0"/>
        <v>0.96875</v>
      </c>
    </row>
    <row r="42" spans="1:9" s="7" customFormat="1" ht="19.5" customHeight="1">
      <c r="A42" s="68"/>
      <c r="B42" s="86"/>
      <c r="C42" s="86" t="s">
        <v>138</v>
      </c>
      <c r="D42" s="88">
        <v>160000</v>
      </c>
      <c r="E42" s="88">
        <v>155000</v>
      </c>
      <c r="F42" s="88">
        <v>155000</v>
      </c>
      <c r="G42" s="88"/>
      <c r="H42" s="88"/>
      <c r="I42" s="131">
        <f t="shared" si="0"/>
        <v>0.96875</v>
      </c>
    </row>
    <row r="43" spans="1:9" s="7" customFormat="1" ht="19.5" customHeight="1">
      <c r="A43" s="68"/>
      <c r="B43" s="74">
        <v>63003</v>
      </c>
      <c r="C43" s="74" t="s">
        <v>23</v>
      </c>
      <c r="D43" s="75">
        <f>SUM(D44:D46)</f>
        <v>211892</v>
      </c>
      <c r="E43" s="75">
        <f>SUM(E44:E46)</f>
        <v>190000</v>
      </c>
      <c r="F43" s="75">
        <f>SUM(F44:F46)</f>
        <v>190000</v>
      </c>
      <c r="G43" s="75"/>
      <c r="H43" s="75"/>
      <c r="I43" s="139">
        <f t="shared" si="0"/>
        <v>0.8966832159779511</v>
      </c>
    </row>
    <row r="44" spans="1:9" s="7" customFormat="1" ht="19.5" customHeight="1">
      <c r="A44" s="68"/>
      <c r="B44" s="68"/>
      <c r="C44" s="78" t="s">
        <v>181</v>
      </c>
      <c r="D44" s="77">
        <v>50000</v>
      </c>
      <c r="E44" s="77">
        <v>50000</v>
      </c>
      <c r="F44" s="77">
        <v>50000</v>
      </c>
      <c r="G44" s="77"/>
      <c r="H44" s="77"/>
      <c r="I44" s="137">
        <f t="shared" si="0"/>
        <v>1</v>
      </c>
    </row>
    <row r="45" spans="1:9" s="7" customFormat="1" ht="27.75" customHeight="1">
      <c r="A45" s="68"/>
      <c r="B45" s="68"/>
      <c r="C45" s="179" t="s">
        <v>270</v>
      </c>
      <c r="D45" s="178"/>
      <c r="E45" s="178">
        <v>140000</v>
      </c>
      <c r="F45" s="178">
        <v>140000</v>
      </c>
      <c r="G45" s="77"/>
      <c r="H45" s="77"/>
      <c r="I45" s="137"/>
    </row>
    <row r="46" spans="1:9" s="7" customFormat="1" ht="19.5" customHeight="1">
      <c r="A46" s="72"/>
      <c r="B46" s="72"/>
      <c r="C46" s="63" t="s">
        <v>256</v>
      </c>
      <c r="D46" s="64">
        <v>161892</v>
      </c>
      <c r="E46" s="64"/>
      <c r="F46" s="64"/>
      <c r="G46" s="73"/>
      <c r="H46" s="73"/>
      <c r="I46" s="138"/>
    </row>
    <row r="47" spans="1:9" s="7" customFormat="1" ht="19.5" customHeight="1">
      <c r="A47" s="51">
        <v>700</v>
      </c>
      <c r="B47" s="51"/>
      <c r="C47" s="51" t="s">
        <v>24</v>
      </c>
      <c r="D47" s="52">
        <f>D48+D50+D54+D59+D57</f>
        <v>9176330</v>
      </c>
      <c r="E47" s="52">
        <f>E48+E50+E54+E59+E57</f>
        <v>9451000</v>
      </c>
      <c r="F47" s="52">
        <f>F48+F50+F54+F59+F57</f>
        <v>5451000</v>
      </c>
      <c r="G47" s="52">
        <f>G48+G50+G54+G59+G57</f>
        <v>4100000</v>
      </c>
      <c r="H47" s="52">
        <f>H48+H50+H54+H59+H57</f>
        <v>4000000</v>
      </c>
      <c r="I47" s="129">
        <f t="shared" si="0"/>
        <v>1.0299324457599062</v>
      </c>
    </row>
    <row r="48" spans="1:9" s="7" customFormat="1" ht="19.5" customHeight="1">
      <c r="A48" s="68"/>
      <c r="B48" s="55">
        <v>70001</v>
      </c>
      <c r="C48" s="55" t="s">
        <v>25</v>
      </c>
      <c r="D48" s="56">
        <f>D49</f>
        <v>4445000</v>
      </c>
      <c r="E48" s="56">
        <f>E49</f>
        <v>4000000</v>
      </c>
      <c r="F48" s="56">
        <f>F49</f>
        <v>4000000</v>
      </c>
      <c r="G48" s="56">
        <f>G49</f>
        <v>4000000</v>
      </c>
      <c r="H48" s="56"/>
      <c r="I48" s="130">
        <f t="shared" si="0"/>
        <v>0.8998875140607424</v>
      </c>
    </row>
    <row r="49" spans="1:9" s="7" customFormat="1" ht="19.5" customHeight="1">
      <c r="A49" s="68"/>
      <c r="B49" s="86"/>
      <c r="C49" s="87" t="s">
        <v>150</v>
      </c>
      <c r="D49" s="88">
        <v>4445000</v>
      </c>
      <c r="E49" s="88">
        <v>4000000</v>
      </c>
      <c r="F49" s="88">
        <v>4000000</v>
      </c>
      <c r="G49" s="88">
        <v>4000000</v>
      </c>
      <c r="H49" s="88"/>
      <c r="I49" s="131">
        <f t="shared" si="0"/>
        <v>0.8998875140607424</v>
      </c>
    </row>
    <row r="50" spans="1:9" s="7" customFormat="1" ht="19.5" customHeight="1">
      <c r="A50" s="68"/>
      <c r="B50" s="118">
        <v>70004</v>
      </c>
      <c r="C50" s="84" t="s">
        <v>161</v>
      </c>
      <c r="D50" s="75">
        <f>SUM(D51:D53)</f>
        <v>249530</v>
      </c>
      <c r="E50" s="75">
        <f>SUM(E51:E53)</f>
        <v>275000</v>
      </c>
      <c r="F50" s="75">
        <f>SUM(F51:F53)</f>
        <v>275000</v>
      </c>
      <c r="G50" s="75"/>
      <c r="H50" s="75"/>
      <c r="I50" s="139">
        <f t="shared" si="0"/>
        <v>1.1020718951629063</v>
      </c>
    </row>
    <row r="51" spans="1:9" s="7" customFormat="1" ht="19.5" customHeight="1">
      <c r="A51" s="68"/>
      <c r="B51" s="68"/>
      <c r="C51" s="70" t="s">
        <v>113</v>
      </c>
      <c r="D51" s="71">
        <v>174530</v>
      </c>
      <c r="E51" s="71">
        <v>200000</v>
      </c>
      <c r="F51" s="71">
        <v>200000</v>
      </c>
      <c r="G51" s="71"/>
      <c r="H51" s="71"/>
      <c r="I51" s="136">
        <f t="shared" si="0"/>
        <v>1.1459347963100899</v>
      </c>
    </row>
    <row r="52" spans="1:9" s="7" customFormat="1" ht="28.5" customHeight="1">
      <c r="A52" s="68"/>
      <c r="B52" s="68"/>
      <c r="C52" s="76" t="s">
        <v>247</v>
      </c>
      <c r="D52" s="77">
        <v>25000</v>
      </c>
      <c r="E52" s="77">
        <v>25000</v>
      </c>
      <c r="F52" s="77">
        <v>25000</v>
      </c>
      <c r="G52" s="77"/>
      <c r="H52" s="77"/>
      <c r="I52" s="137">
        <f t="shared" si="0"/>
        <v>1</v>
      </c>
    </row>
    <row r="53" spans="1:9" s="7" customFormat="1" ht="19.5" customHeight="1">
      <c r="A53" s="68"/>
      <c r="B53" s="72"/>
      <c r="C53" s="85" t="s">
        <v>191</v>
      </c>
      <c r="D53" s="73">
        <v>50000</v>
      </c>
      <c r="E53" s="73">
        <v>50000</v>
      </c>
      <c r="F53" s="73">
        <v>50000</v>
      </c>
      <c r="G53" s="73"/>
      <c r="H53" s="73"/>
      <c r="I53" s="138">
        <f>E53/D53</f>
        <v>1</v>
      </c>
    </row>
    <row r="54" spans="1:9" s="7" customFormat="1" ht="19.5" customHeight="1">
      <c r="A54" s="68"/>
      <c r="B54" s="74">
        <v>70005</v>
      </c>
      <c r="C54" s="74" t="s">
        <v>26</v>
      </c>
      <c r="D54" s="75">
        <f>SUM(D55:D56)</f>
        <v>831800</v>
      </c>
      <c r="E54" s="75">
        <f>SUM(E55:E56)</f>
        <v>1176000</v>
      </c>
      <c r="F54" s="75">
        <f>SUM(F55:F56)</f>
        <v>1176000</v>
      </c>
      <c r="G54" s="75">
        <f>SUM(G55:G56)</f>
        <v>100000</v>
      </c>
      <c r="H54" s="75"/>
      <c r="I54" s="139">
        <f t="shared" si="0"/>
        <v>1.4138013945660015</v>
      </c>
    </row>
    <row r="55" spans="1:9" s="7" customFormat="1" ht="27.75" customHeight="1">
      <c r="A55" s="68"/>
      <c r="B55" s="68"/>
      <c r="C55" s="89" t="s">
        <v>242</v>
      </c>
      <c r="D55" s="71">
        <v>631800</v>
      </c>
      <c r="E55" s="71">
        <v>376000</v>
      </c>
      <c r="F55" s="71">
        <v>376000</v>
      </c>
      <c r="G55" s="71">
        <v>100000</v>
      </c>
      <c r="H55" s="71"/>
      <c r="I55" s="136">
        <f t="shared" si="0"/>
        <v>0.595125039569484</v>
      </c>
    </row>
    <row r="56" spans="1:9" s="7" customFormat="1" ht="19.5" customHeight="1">
      <c r="A56" s="68"/>
      <c r="B56" s="72"/>
      <c r="C56" s="85" t="s">
        <v>191</v>
      </c>
      <c r="D56" s="73">
        <v>200000</v>
      </c>
      <c r="E56" s="73">
        <v>800000</v>
      </c>
      <c r="F56" s="73">
        <v>800000</v>
      </c>
      <c r="G56" s="73"/>
      <c r="H56" s="73"/>
      <c r="I56" s="138">
        <f>E56/D56</f>
        <v>4</v>
      </c>
    </row>
    <row r="57" spans="1:9" s="7" customFormat="1" ht="18.75" customHeight="1">
      <c r="A57" s="68"/>
      <c r="B57" s="74">
        <v>70021</v>
      </c>
      <c r="C57" s="74" t="s">
        <v>207</v>
      </c>
      <c r="D57" s="75">
        <f>D58</f>
        <v>1000000</v>
      </c>
      <c r="E57" s="75"/>
      <c r="F57" s="75"/>
      <c r="G57" s="75"/>
      <c r="H57" s="75"/>
      <c r="I57" s="139"/>
    </row>
    <row r="58" spans="1:9" s="7" customFormat="1" ht="18.75" customHeight="1">
      <c r="A58" s="68"/>
      <c r="B58" s="86"/>
      <c r="C58" s="87" t="s">
        <v>103</v>
      </c>
      <c r="D58" s="88">
        <v>1000000</v>
      </c>
      <c r="E58" s="88"/>
      <c r="F58" s="88"/>
      <c r="G58" s="88"/>
      <c r="H58" s="88"/>
      <c r="I58" s="138"/>
    </row>
    <row r="59" spans="1:9" s="7" customFormat="1" ht="18.75" customHeight="1">
      <c r="A59" s="68"/>
      <c r="B59" s="74">
        <v>70095</v>
      </c>
      <c r="C59" s="74" t="s">
        <v>4</v>
      </c>
      <c r="D59" s="75">
        <f>SUM(D60:D60)</f>
        <v>2650000</v>
      </c>
      <c r="E59" s="75">
        <f>SUM(E60:E60)</f>
        <v>4000000</v>
      </c>
      <c r="F59" s="75"/>
      <c r="G59" s="75"/>
      <c r="H59" s="75">
        <f>SUM(H60:H60)</f>
        <v>4000000</v>
      </c>
      <c r="I59" s="139">
        <f t="shared" si="0"/>
        <v>1.509433962264151</v>
      </c>
    </row>
    <row r="60" spans="1:9" s="7" customFormat="1" ht="18.75" customHeight="1">
      <c r="A60" s="72"/>
      <c r="B60" s="72"/>
      <c r="C60" s="72" t="s">
        <v>6</v>
      </c>
      <c r="D60" s="73">
        <v>2650000</v>
      </c>
      <c r="E60" s="73">
        <v>4000000</v>
      </c>
      <c r="F60" s="73"/>
      <c r="G60" s="73"/>
      <c r="H60" s="73">
        <v>4000000</v>
      </c>
      <c r="I60" s="138">
        <f t="shared" si="0"/>
        <v>1.509433962264151</v>
      </c>
    </row>
    <row r="61" spans="1:9" s="7" customFormat="1" ht="18.75" customHeight="1">
      <c r="A61" s="184"/>
      <c r="B61" s="184"/>
      <c r="C61" s="184"/>
      <c r="D61" s="185"/>
      <c r="E61" s="185"/>
      <c r="F61" s="185"/>
      <c r="G61" s="185"/>
      <c r="H61" s="185"/>
      <c r="I61" s="186"/>
    </row>
    <row r="62" spans="1:9" s="7" customFormat="1" ht="19.5" customHeight="1">
      <c r="A62" s="51">
        <v>710</v>
      </c>
      <c r="B62" s="51"/>
      <c r="C62" s="51" t="s">
        <v>27</v>
      </c>
      <c r="D62" s="52">
        <f>D63+D67+D69</f>
        <v>2170324</v>
      </c>
      <c r="E62" s="52">
        <f>E63+E67+E69</f>
        <v>2241400</v>
      </c>
      <c r="F62" s="52">
        <f>F63+F67+F69</f>
        <v>2141400</v>
      </c>
      <c r="G62" s="52"/>
      <c r="H62" s="52">
        <f>H63+H67+H69</f>
        <v>100000</v>
      </c>
      <c r="I62" s="129">
        <f t="shared" si="0"/>
        <v>1.0327490273341675</v>
      </c>
    </row>
    <row r="63" spans="1:9" s="7" customFormat="1" ht="19.5" customHeight="1">
      <c r="A63" s="68"/>
      <c r="B63" s="55">
        <v>71004</v>
      </c>
      <c r="C63" s="55" t="s">
        <v>28</v>
      </c>
      <c r="D63" s="56">
        <f>D64+D66</f>
        <v>107000</v>
      </c>
      <c r="E63" s="56">
        <f>E64+E66</f>
        <v>163000</v>
      </c>
      <c r="F63" s="56">
        <f>F64+F66</f>
        <v>163000</v>
      </c>
      <c r="G63" s="56"/>
      <c r="H63" s="56"/>
      <c r="I63" s="130">
        <f t="shared" si="0"/>
        <v>1.5233644859813085</v>
      </c>
    </row>
    <row r="64" spans="1:9" s="7" customFormat="1" ht="19.5" customHeight="1">
      <c r="A64" s="68"/>
      <c r="B64" s="68"/>
      <c r="C64" s="196" t="s">
        <v>115</v>
      </c>
      <c r="D64" s="197"/>
      <c r="E64" s="197">
        <v>5000</v>
      </c>
      <c r="F64" s="197">
        <v>5000</v>
      </c>
      <c r="G64" s="197"/>
      <c r="H64" s="197"/>
      <c r="I64" s="198"/>
    </row>
    <row r="65" spans="1:9" s="7" customFormat="1" ht="18" customHeight="1">
      <c r="A65" s="68"/>
      <c r="B65" s="68"/>
      <c r="C65" s="199" t="s">
        <v>332</v>
      </c>
      <c r="D65" s="194"/>
      <c r="E65" s="194">
        <v>3000</v>
      </c>
      <c r="F65" s="194">
        <v>3000</v>
      </c>
      <c r="G65" s="194"/>
      <c r="H65" s="194"/>
      <c r="I65" s="195"/>
    </row>
    <row r="66" spans="1:9" s="7" customFormat="1" ht="19.5" customHeight="1">
      <c r="A66" s="68"/>
      <c r="B66" s="72"/>
      <c r="C66" s="72" t="s">
        <v>141</v>
      </c>
      <c r="D66" s="73">
        <v>107000</v>
      </c>
      <c r="E66" s="73">
        <v>158000</v>
      </c>
      <c r="F66" s="73">
        <v>158000</v>
      </c>
      <c r="G66" s="73"/>
      <c r="H66" s="73"/>
      <c r="I66" s="138">
        <f t="shared" si="0"/>
        <v>1.4766355140186915</v>
      </c>
    </row>
    <row r="67" spans="1:9" s="7" customFormat="1" ht="19.5" customHeight="1">
      <c r="A67" s="68"/>
      <c r="B67" s="74">
        <v>71014</v>
      </c>
      <c r="C67" s="74" t="s">
        <v>29</v>
      </c>
      <c r="D67" s="75">
        <f>D68</f>
        <v>760000</v>
      </c>
      <c r="E67" s="75">
        <f>E68</f>
        <v>800000</v>
      </c>
      <c r="F67" s="75">
        <f>F68</f>
        <v>800000</v>
      </c>
      <c r="G67" s="75"/>
      <c r="H67" s="75"/>
      <c r="I67" s="139">
        <f t="shared" si="0"/>
        <v>1.0526315789473684</v>
      </c>
    </row>
    <row r="68" spans="1:9" s="7" customFormat="1" ht="30" customHeight="1">
      <c r="A68" s="68"/>
      <c r="B68" s="86"/>
      <c r="C68" s="87" t="s">
        <v>146</v>
      </c>
      <c r="D68" s="88">
        <v>760000</v>
      </c>
      <c r="E68" s="88">
        <v>800000</v>
      </c>
      <c r="F68" s="88">
        <v>800000</v>
      </c>
      <c r="G68" s="88"/>
      <c r="H68" s="88"/>
      <c r="I68" s="131">
        <f t="shared" si="0"/>
        <v>1.0526315789473684</v>
      </c>
    </row>
    <row r="69" spans="1:9" s="7" customFormat="1" ht="19.5" customHeight="1">
      <c r="A69" s="68"/>
      <c r="B69" s="74">
        <v>71035</v>
      </c>
      <c r="C69" s="74" t="s">
        <v>162</v>
      </c>
      <c r="D69" s="75">
        <f>SUM(D70:D72)</f>
        <v>1303324</v>
      </c>
      <c r="E69" s="75">
        <f>SUM(E70:E72)</f>
        <v>1278400</v>
      </c>
      <c r="F69" s="75">
        <f>SUM(F70:F72)</f>
        <v>1178400</v>
      </c>
      <c r="G69" s="75"/>
      <c r="H69" s="75">
        <f>SUM(H70:H72)</f>
        <v>100000</v>
      </c>
      <c r="I69" s="139">
        <f t="shared" si="0"/>
        <v>0.9808765893975712</v>
      </c>
    </row>
    <row r="70" spans="1:9" s="7" customFormat="1" ht="19.5" customHeight="1">
      <c r="A70" s="68"/>
      <c r="B70" s="69"/>
      <c r="C70" s="89" t="s">
        <v>163</v>
      </c>
      <c r="D70" s="71">
        <v>1020000</v>
      </c>
      <c r="E70" s="71">
        <v>1145000</v>
      </c>
      <c r="F70" s="71">
        <v>1145000</v>
      </c>
      <c r="G70" s="71"/>
      <c r="H70" s="71"/>
      <c r="I70" s="136">
        <f t="shared" si="0"/>
        <v>1.1225490196078431</v>
      </c>
    </row>
    <row r="71" spans="1:9" s="7" customFormat="1" ht="19.5" customHeight="1">
      <c r="A71" s="68"/>
      <c r="B71" s="68"/>
      <c r="C71" s="78" t="s">
        <v>168</v>
      </c>
      <c r="D71" s="77">
        <v>33324</v>
      </c>
      <c r="E71" s="77">
        <v>33400</v>
      </c>
      <c r="F71" s="77">
        <v>33400</v>
      </c>
      <c r="G71" s="77"/>
      <c r="H71" s="77"/>
      <c r="I71" s="137">
        <f t="shared" si="0"/>
        <v>1.0022806385788021</v>
      </c>
    </row>
    <row r="72" spans="1:9" s="7" customFormat="1" ht="18.75" customHeight="1">
      <c r="A72" s="68"/>
      <c r="B72" s="72"/>
      <c r="C72" s="72" t="s">
        <v>6</v>
      </c>
      <c r="D72" s="73">
        <v>250000</v>
      </c>
      <c r="E72" s="73">
        <v>100000</v>
      </c>
      <c r="F72" s="73"/>
      <c r="G72" s="73"/>
      <c r="H72" s="73">
        <v>100000</v>
      </c>
      <c r="I72" s="138">
        <f>E72/D72</f>
        <v>0.4</v>
      </c>
    </row>
    <row r="73" spans="1:9" s="7" customFormat="1" ht="19.5" customHeight="1">
      <c r="A73" s="50">
        <v>750</v>
      </c>
      <c r="B73" s="50"/>
      <c r="C73" s="50" t="s">
        <v>30</v>
      </c>
      <c r="D73" s="67">
        <f>D74+D78+D84</f>
        <v>49487342</v>
      </c>
      <c r="E73" s="67">
        <f>E74+E78+E84</f>
        <v>53330000</v>
      </c>
      <c r="F73" s="67">
        <f>F74+F78+F84</f>
        <v>51230000</v>
      </c>
      <c r="G73" s="67">
        <f>G74+G78+G84</f>
        <v>820000</v>
      </c>
      <c r="H73" s="67">
        <f>H74+H78+H84</f>
        <v>2100000</v>
      </c>
      <c r="I73" s="135">
        <f aca="true" t="shared" si="3" ref="I73:I157">E73/D73</f>
        <v>1.0776493108076</v>
      </c>
    </row>
    <row r="74" spans="1:9" s="7" customFormat="1" ht="19.5" customHeight="1">
      <c r="A74" s="68"/>
      <c r="B74" s="55">
        <v>75022</v>
      </c>
      <c r="C74" s="55" t="s">
        <v>31</v>
      </c>
      <c r="D74" s="56">
        <f>SUM(D75:D77)</f>
        <v>1195970</v>
      </c>
      <c r="E74" s="56">
        <f>SUM(E75:E77)</f>
        <v>1400000</v>
      </c>
      <c r="F74" s="56">
        <f>SUM(F75:F77)</f>
        <v>1400000</v>
      </c>
      <c r="G74" s="56">
        <f>SUM(G75:G77)</f>
        <v>20000</v>
      </c>
      <c r="H74" s="56"/>
      <c r="I74" s="130">
        <f t="shared" si="3"/>
        <v>1.1705979246971079</v>
      </c>
    </row>
    <row r="75" spans="1:9" s="7" customFormat="1" ht="19.5" customHeight="1">
      <c r="A75" s="68"/>
      <c r="B75" s="68"/>
      <c r="C75" s="70" t="s">
        <v>229</v>
      </c>
      <c r="D75" s="71">
        <v>810000</v>
      </c>
      <c r="E75" s="71">
        <v>875000</v>
      </c>
      <c r="F75" s="71">
        <v>875000</v>
      </c>
      <c r="G75" s="71"/>
      <c r="H75" s="71"/>
      <c r="I75" s="136">
        <f t="shared" si="3"/>
        <v>1.0802469135802468</v>
      </c>
    </row>
    <row r="76" spans="1:9" s="7" customFormat="1" ht="19.5" customHeight="1">
      <c r="A76" s="68"/>
      <c r="B76" s="68"/>
      <c r="C76" s="76" t="s">
        <v>230</v>
      </c>
      <c r="D76" s="77">
        <v>385970</v>
      </c>
      <c r="E76" s="77">
        <v>409000</v>
      </c>
      <c r="F76" s="77">
        <v>409000</v>
      </c>
      <c r="G76" s="77">
        <v>20000</v>
      </c>
      <c r="H76" s="77"/>
      <c r="I76" s="137">
        <f t="shared" si="3"/>
        <v>1.0596678498328886</v>
      </c>
    </row>
    <row r="77" spans="1:9" s="7" customFormat="1" ht="19.5" customHeight="1">
      <c r="A77" s="68"/>
      <c r="B77" s="72"/>
      <c r="C77" s="63" t="s">
        <v>231</v>
      </c>
      <c r="D77" s="64"/>
      <c r="E77" s="64">
        <v>116000</v>
      </c>
      <c r="F77" s="64">
        <v>116000</v>
      </c>
      <c r="G77" s="64"/>
      <c r="H77" s="64"/>
      <c r="I77" s="141"/>
    </row>
    <row r="78" spans="1:9" s="7" customFormat="1" ht="19.5" customHeight="1">
      <c r="A78" s="68"/>
      <c r="B78" s="74">
        <v>75023</v>
      </c>
      <c r="C78" s="74" t="s">
        <v>144</v>
      </c>
      <c r="D78" s="75">
        <f>SUM(D79:D83)</f>
        <v>46699162</v>
      </c>
      <c r="E78" s="75">
        <f>SUM(E79:E83)</f>
        <v>49785000</v>
      </c>
      <c r="F78" s="75">
        <f>SUM(F79:F83)</f>
        <v>47685000</v>
      </c>
      <c r="G78" s="75">
        <f>SUM(G79:G83)</f>
        <v>800000</v>
      </c>
      <c r="H78" s="75">
        <f>SUM(H79:H83)</f>
        <v>2100000</v>
      </c>
      <c r="I78" s="139">
        <f t="shared" si="3"/>
        <v>1.0660790872435784</v>
      </c>
    </row>
    <row r="79" spans="1:9" s="7" customFormat="1" ht="19.5" customHeight="1">
      <c r="A79" s="68"/>
      <c r="B79" s="68"/>
      <c r="C79" s="70" t="s">
        <v>326</v>
      </c>
      <c r="D79" s="71">
        <f>29653026+400000</f>
        <v>30053026</v>
      </c>
      <c r="E79" s="71">
        <f>31000000+400000</f>
        <v>31400000</v>
      </c>
      <c r="F79" s="71">
        <f>31000000+400000</f>
        <v>31400000</v>
      </c>
      <c r="G79" s="71"/>
      <c r="H79" s="71"/>
      <c r="I79" s="136">
        <f t="shared" si="3"/>
        <v>1.0448199126437385</v>
      </c>
    </row>
    <row r="80" spans="1:9" s="7" customFormat="1" ht="19.5" customHeight="1">
      <c r="A80" s="68"/>
      <c r="B80" s="68"/>
      <c r="C80" s="78" t="s">
        <v>44</v>
      </c>
      <c r="D80" s="77">
        <f>9649136-400000</f>
        <v>9249136</v>
      </c>
      <c r="E80" s="77">
        <f>10800000-400000</f>
        <v>10400000</v>
      </c>
      <c r="F80" s="77">
        <f>10800000-400000</f>
        <v>10400000</v>
      </c>
      <c r="G80" s="77">
        <v>800000</v>
      </c>
      <c r="H80" s="77"/>
      <c r="I80" s="137">
        <f t="shared" si="3"/>
        <v>1.1244293521038073</v>
      </c>
    </row>
    <row r="81" spans="1:9" s="7" customFormat="1" ht="20.25" customHeight="1">
      <c r="A81" s="68"/>
      <c r="B81" s="68"/>
      <c r="C81" s="78" t="s">
        <v>45</v>
      </c>
      <c r="D81" s="77">
        <v>5597000</v>
      </c>
      <c r="E81" s="77">
        <v>5798000</v>
      </c>
      <c r="F81" s="77">
        <v>5798000</v>
      </c>
      <c r="G81" s="77"/>
      <c r="H81" s="77"/>
      <c r="I81" s="137">
        <f t="shared" si="3"/>
        <v>1.0359120957655887</v>
      </c>
    </row>
    <row r="82" spans="1:9" s="7" customFormat="1" ht="20.25" customHeight="1">
      <c r="A82" s="68"/>
      <c r="B82" s="68"/>
      <c r="C82" s="78" t="s">
        <v>278</v>
      </c>
      <c r="D82" s="77"/>
      <c r="E82" s="77">
        <v>87000</v>
      </c>
      <c r="F82" s="77">
        <v>87000</v>
      </c>
      <c r="G82" s="77"/>
      <c r="H82" s="77"/>
      <c r="I82" s="137"/>
    </row>
    <row r="83" spans="1:9" s="7" customFormat="1" ht="19.5" customHeight="1">
      <c r="A83" s="68"/>
      <c r="B83" s="72"/>
      <c r="C83" s="72" t="s">
        <v>6</v>
      </c>
      <c r="D83" s="73">
        <v>1800000</v>
      </c>
      <c r="E83" s="73">
        <v>2100000</v>
      </c>
      <c r="F83" s="73"/>
      <c r="G83" s="73"/>
      <c r="H83" s="73">
        <v>2100000</v>
      </c>
      <c r="I83" s="138">
        <f t="shared" si="3"/>
        <v>1.1666666666666667</v>
      </c>
    </row>
    <row r="84" spans="1:9" s="7" customFormat="1" ht="19.5" customHeight="1">
      <c r="A84" s="68"/>
      <c r="B84" s="74">
        <v>75095</v>
      </c>
      <c r="C84" s="74" t="s">
        <v>4</v>
      </c>
      <c r="D84" s="75">
        <f>SUM(D85:D86)</f>
        <v>1592210</v>
      </c>
      <c r="E84" s="75">
        <f>SUM(E85:E86)</f>
        <v>2145000</v>
      </c>
      <c r="F84" s="75">
        <f>SUM(F85:F86)</f>
        <v>2145000</v>
      </c>
      <c r="G84" s="75"/>
      <c r="H84" s="75"/>
      <c r="I84" s="139">
        <f t="shared" si="3"/>
        <v>1.3471841025995315</v>
      </c>
    </row>
    <row r="85" spans="1:9" s="7" customFormat="1" ht="19.5" customHeight="1">
      <c r="A85" s="68"/>
      <c r="B85" s="68"/>
      <c r="C85" s="70" t="s">
        <v>279</v>
      </c>
      <c r="D85" s="71">
        <v>1398346</v>
      </c>
      <c r="E85" s="71">
        <v>1950000</v>
      </c>
      <c r="F85" s="71">
        <v>1950000</v>
      </c>
      <c r="G85" s="71"/>
      <c r="H85" s="71"/>
      <c r="I85" s="136">
        <f t="shared" si="3"/>
        <v>1.3945046504942267</v>
      </c>
    </row>
    <row r="86" spans="1:9" s="7" customFormat="1" ht="29.25" customHeight="1">
      <c r="A86" s="72"/>
      <c r="B86" s="72"/>
      <c r="C86" s="63" t="s">
        <v>282</v>
      </c>
      <c r="D86" s="64">
        <v>193864</v>
      </c>
      <c r="E86" s="64">
        <v>195000</v>
      </c>
      <c r="F86" s="64">
        <v>195000</v>
      </c>
      <c r="G86" s="64"/>
      <c r="H86" s="64"/>
      <c r="I86" s="141">
        <f>E86/D86</f>
        <v>1.005859777988693</v>
      </c>
    </row>
    <row r="87" spans="1:9" s="7" customFormat="1" ht="21" customHeight="1">
      <c r="A87" s="112">
        <v>754</v>
      </c>
      <c r="B87" s="51"/>
      <c r="C87" s="109" t="s">
        <v>32</v>
      </c>
      <c r="D87" s="52">
        <f>D88+D91+D93+D95+D100</f>
        <v>5169900</v>
      </c>
      <c r="E87" s="52">
        <f>E88+E91+E93+E95+E100</f>
        <v>5108000</v>
      </c>
      <c r="F87" s="52">
        <f>F88+F91+F93+F95+F100</f>
        <v>4638000</v>
      </c>
      <c r="G87" s="52">
        <f>G88+G91+G93+G95+G100</f>
        <v>43000</v>
      </c>
      <c r="H87" s="52">
        <f>H88+H91+H93+H95+H100</f>
        <v>470000</v>
      </c>
      <c r="I87" s="129">
        <f t="shared" si="3"/>
        <v>0.988026847714656</v>
      </c>
    </row>
    <row r="88" spans="1:9" s="7" customFormat="1" ht="19.5" customHeight="1">
      <c r="A88" s="68"/>
      <c r="B88" s="55">
        <v>75405</v>
      </c>
      <c r="C88" s="55" t="s">
        <v>34</v>
      </c>
      <c r="D88" s="56">
        <f>D89</f>
        <v>100000</v>
      </c>
      <c r="E88" s="56">
        <f>E89</f>
        <v>100000</v>
      </c>
      <c r="F88" s="56"/>
      <c r="G88" s="56"/>
      <c r="H88" s="56">
        <f>H89</f>
        <v>100000</v>
      </c>
      <c r="I88" s="130">
        <f>E88/D88</f>
        <v>1</v>
      </c>
    </row>
    <row r="89" spans="1:9" s="7" customFormat="1" ht="30" customHeight="1">
      <c r="A89" s="68"/>
      <c r="B89" s="69"/>
      <c r="C89" s="200" t="s">
        <v>184</v>
      </c>
      <c r="D89" s="182">
        <v>100000</v>
      </c>
      <c r="E89" s="182">
        <v>100000</v>
      </c>
      <c r="F89" s="182"/>
      <c r="G89" s="182"/>
      <c r="H89" s="182">
        <v>100000</v>
      </c>
      <c r="I89" s="183">
        <f>E89/D89</f>
        <v>1</v>
      </c>
    </row>
    <row r="90" spans="1:9" s="7" customFormat="1" ht="19.5" customHeight="1">
      <c r="A90" s="184"/>
      <c r="B90" s="184"/>
      <c r="C90" s="192"/>
      <c r="D90" s="185"/>
      <c r="E90" s="185"/>
      <c r="F90" s="185"/>
      <c r="G90" s="185"/>
      <c r="H90" s="185"/>
      <c r="I90" s="186"/>
    </row>
    <row r="91" spans="1:9" s="7" customFormat="1" ht="19.5" customHeight="1">
      <c r="A91" s="68"/>
      <c r="B91" s="74">
        <v>75411</v>
      </c>
      <c r="C91" s="74" t="s">
        <v>33</v>
      </c>
      <c r="D91" s="75">
        <f>D92</f>
        <v>100000</v>
      </c>
      <c r="E91" s="75">
        <f>E92</f>
        <v>50000</v>
      </c>
      <c r="F91" s="75"/>
      <c r="G91" s="75"/>
      <c r="H91" s="75">
        <f>H92</f>
        <v>50000</v>
      </c>
      <c r="I91" s="139">
        <f t="shared" si="3"/>
        <v>0.5</v>
      </c>
    </row>
    <row r="92" spans="1:9" s="7" customFormat="1" ht="19.5" customHeight="1">
      <c r="A92" s="68"/>
      <c r="B92" s="86"/>
      <c r="C92" s="86" t="s">
        <v>116</v>
      </c>
      <c r="D92" s="88">
        <v>100000</v>
      </c>
      <c r="E92" s="88">
        <v>50000</v>
      </c>
      <c r="F92" s="88"/>
      <c r="G92" s="88"/>
      <c r="H92" s="88">
        <v>50000</v>
      </c>
      <c r="I92" s="131">
        <f t="shared" si="3"/>
        <v>0.5</v>
      </c>
    </row>
    <row r="93" spans="1:9" s="43" customFormat="1" ht="19.5" customHeight="1">
      <c r="A93" s="54"/>
      <c r="B93" s="74">
        <v>75412</v>
      </c>
      <c r="C93" s="74" t="s">
        <v>35</v>
      </c>
      <c r="D93" s="75">
        <f>SUM(D94:D94)</f>
        <v>40000</v>
      </c>
      <c r="E93" s="75">
        <f>E94</f>
        <v>60000</v>
      </c>
      <c r="F93" s="75">
        <f>F94</f>
        <v>60000</v>
      </c>
      <c r="G93" s="75"/>
      <c r="H93" s="75"/>
      <c r="I93" s="139">
        <f t="shared" si="3"/>
        <v>1.5</v>
      </c>
    </row>
    <row r="94" spans="1:9" s="7" customFormat="1" ht="19.5" customHeight="1">
      <c r="A94" s="68"/>
      <c r="B94" s="86"/>
      <c r="C94" s="87" t="s">
        <v>333</v>
      </c>
      <c r="D94" s="88">
        <v>40000</v>
      </c>
      <c r="E94" s="88">
        <v>60000</v>
      </c>
      <c r="F94" s="88">
        <v>60000</v>
      </c>
      <c r="G94" s="88"/>
      <c r="H94" s="88"/>
      <c r="I94" s="131">
        <f t="shared" si="3"/>
        <v>1.5</v>
      </c>
    </row>
    <row r="95" spans="1:9" s="43" customFormat="1" ht="19.5" customHeight="1">
      <c r="A95" s="54"/>
      <c r="B95" s="74">
        <v>75416</v>
      </c>
      <c r="C95" s="74" t="s">
        <v>36</v>
      </c>
      <c r="D95" s="75">
        <f>SUM(D96:D99)</f>
        <v>4257500</v>
      </c>
      <c r="E95" s="75">
        <f>SUM(E96:E99)</f>
        <v>4615000</v>
      </c>
      <c r="F95" s="75">
        <f>SUM(F96:F99)</f>
        <v>4455000</v>
      </c>
      <c r="G95" s="75">
        <f>SUM(G96:G99)</f>
        <v>43000</v>
      </c>
      <c r="H95" s="75">
        <f>SUM(H96:H99)</f>
        <v>160000</v>
      </c>
      <c r="I95" s="139">
        <f t="shared" si="3"/>
        <v>1.083969465648855</v>
      </c>
    </row>
    <row r="96" spans="1:9" s="7" customFormat="1" ht="19.5" customHeight="1">
      <c r="A96" s="68"/>
      <c r="B96" s="68"/>
      <c r="C96" s="70" t="s">
        <v>326</v>
      </c>
      <c r="D96" s="71">
        <f>3031000+17000</f>
        <v>3048000</v>
      </c>
      <c r="E96" s="71">
        <f>3080000+17000</f>
        <v>3097000</v>
      </c>
      <c r="F96" s="71">
        <f>3080000+17000</f>
        <v>3097000</v>
      </c>
      <c r="G96" s="71"/>
      <c r="H96" s="71"/>
      <c r="I96" s="136">
        <f t="shared" si="3"/>
        <v>1.0160761154855642</v>
      </c>
    </row>
    <row r="97" spans="1:9" s="7" customFormat="1" ht="19.5" customHeight="1">
      <c r="A97" s="68"/>
      <c r="B97" s="68"/>
      <c r="C97" s="78" t="s">
        <v>44</v>
      </c>
      <c r="D97" s="77">
        <f>641000-17000</f>
        <v>624000</v>
      </c>
      <c r="E97" s="77">
        <f>770000-17000</f>
        <v>753000</v>
      </c>
      <c r="F97" s="77">
        <f>770000-17000</f>
        <v>753000</v>
      </c>
      <c r="G97" s="77">
        <v>43000</v>
      </c>
      <c r="H97" s="77"/>
      <c r="I97" s="137">
        <f t="shared" si="3"/>
        <v>1.2067307692307692</v>
      </c>
    </row>
    <row r="98" spans="1:9" s="7" customFormat="1" ht="19.5" customHeight="1">
      <c r="A98" s="68"/>
      <c r="B98" s="68"/>
      <c r="C98" s="78" t="s">
        <v>45</v>
      </c>
      <c r="D98" s="77">
        <v>585500</v>
      </c>
      <c r="E98" s="77">
        <v>605000</v>
      </c>
      <c r="F98" s="77">
        <v>605000</v>
      </c>
      <c r="G98" s="77"/>
      <c r="H98" s="77"/>
      <c r="I98" s="137">
        <f t="shared" si="3"/>
        <v>1.0333048676345005</v>
      </c>
    </row>
    <row r="99" spans="1:9" s="7" customFormat="1" ht="19.5" customHeight="1">
      <c r="A99" s="68"/>
      <c r="B99" s="72"/>
      <c r="C99" s="72" t="s">
        <v>6</v>
      </c>
      <c r="D99" s="73"/>
      <c r="E99" s="73">
        <v>160000</v>
      </c>
      <c r="F99" s="73"/>
      <c r="G99" s="73"/>
      <c r="H99" s="73">
        <v>160000</v>
      </c>
      <c r="I99" s="138"/>
    </row>
    <row r="100" spans="1:9" s="7" customFormat="1" ht="19.5" customHeight="1">
      <c r="A100" s="68"/>
      <c r="B100" s="74">
        <v>75495</v>
      </c>
      <c r="C100" s="74" t="s">
        <v>4</v>
      </c>
      <c r="D100" s="75">
        <f>SUM(D101:D102)</f>
        <v>672400</v>
      </c>
      <c r="E100" s="75">
        <f>SUM(E101:E102)</f>
        <v>283000</v>
      </c>
      <c r="F100" s="75">
        <f>SUM(F101:F102)</f>
        <v>123000</v>
      </c>
      <c r="G100" s="75"/>
      <c r="H100" s="75">
        <f>SUM(H101:H102)</f>
        <v>160000</v>
      </c>
      <c r="I100" s="139">
        <f aca="true" t="shared" si="4" ref="I100:I105">E100/D100</f>
        <v>0.42088042831647826</v>
      </c>
    </row>
    <row r="101" spans="1:9" s="7" customFormat="1" ht="19.5" customHeight="1">
      <c r="A101" s="68"/>
      <c r="B101" s="69"/>
      <c r="C101" s="70" t="s">
        <v>204</v>
      </c>
      <c r="D101" s="71">
        <v>572400</v>
      </c>
      <c r="E101" s="71">
        <v>183000</v>
      </c>
      <c r="F101" s="71">
        <v>23000</v>
      </c>
      <c r="G101" s="71"/>
      <c r="H101" s="71">
        <v>160000</v>
      </c>
      <c r="I101" s="136">
        <f t="shared" si="4"/>
        <v>0.319706498951782</v>
      </c>
    </row>
    <row r="102" spans="1:9" s="7" customFormat="1" ht="19.5" customHeight="1">
      <c r="A102" s="72"/>
      <c r="B102" s="72"/>
      <c r="C102" s="63" t="s">
        <v>299</v>
      </c>
      <c r="D102" s="64">
        <v>100000</v>
      </c>
      <c r="E102" s="64">
        <v>100000</v>
      </c>
      <c r="F102" s="64">
        <v>100000</v>
      </c>
      <c r="G102" s="64"/>
      <c r="H102" s="64"/>
      <c r="I102" s="141">
        <f t="shared" si="4"/>
        <v>1</v>
      </c>
    </row>
    <row r="103" spans="1:9" s="7" customFormat="1" ht="43.5" customHeight="1">
      <c r="A103" s="51">
        <v>756</v>
      </c>
      <c r="B103" s="51"/>
      <c r="C103" s="109" t="s">
        <v>208</v>
      </c>
      <c r="D103" s="52">
        <f aca="true" t="shared" si="5" ref="D103:F104">D104</f>
        <v>227000</v>
      </c>
      <c r="E103" s="52">
        <f t="shared" si="5"/>
        <v>233000</v>
      </c>
      <c r="F103" s="52">
        <f t="shared" si="5"/>
        <v>233000</v>
      </c>
      <c r="G103" s="52"/>
      <c r="H103" s="52"/>
      <c r="I103" s="129">
        <f t="shared" si="4"/>
        <v>1.026431718061674</v>
      </c>
    </row>
    <row r="104" spans="1:9" s="7" customFormat="1" ht="19.5" customHeight="1">
      <c r="A104" s="68"/>
      <c r="B104" s="156">
        <v>75647</v>
      </c>
      <c r="C104" s="91" t="s">
        <v>164</v>
      </c>
      <c r="D104" s="56">
        <f t="shared" si="5"/>
        <v>227000</v>
      </c>
      <c r="E104" s="56">
        <f t="shared" si="5"/>
        <v>233000</v>
      </c>
      <c r="F104" s="56">
        <f t="shared" si="5"/>
        <v>233000</v>
      </c>
      <c r="G104" s="56"/>
      <c r="H104" s="56"/>
      <c r="I104" s="130">
        <f t="shared" si="4"/>
        <v>1.026431718061674</v>
      </c>
    </row>
    <row r="105" spans="1:9" s="7" customFormat="1" ht="19.5" customHeight="1">
      <c r="A105" s="72"/>
      <c r="B105" s="72"/>
      <c r="C105" s="87" t="s">
        <v>169</v>
      </c>
      <c r="D105" s="88">
        <v>227000</v>
      </c>
      <c r="E105" s="88">
        <v>233000</v>
      </c>
      <c r="F105" s="88">
        <v>233000</v>
      </c>
      <c r="G105" s="88"/>
      <c r="H105" s="88"/>
      <c r="I105" s="131">
        <f t="shared" si="4"/>
        <v>1.026431718061674</v>
      </c>
    </row>
    <row r="106" spans="1:9" s="7" customFormat="1" ht="19.5" customHeight="1">
      <c r="A106" s="51">
        <v>757</v>
      </c>
      <c r="B106" s="51"/>
      <c r="C106" s="51" t="s">
        <v>37</v>
      </c>
      <c r="D106" s="52">
        <f>D107</f>
        <v>8059160</v>
      </c>
      <c r="E106" s="52">
        <f>E107</f>
        <v>11720000</v>
      </c>
      <c r="F106" s="52">
        <f>F107</f>
        <v>11720000</v>
      </c>
      <c r="G106" s="52"/>
      <c r="H106" s="52"/>
      <c r="I106" s="129">
        <f t="shared" si="3"/>
        <v>1.4542458519250145</v>
      </c>
    </row>
    <row r="107" spans="1:9" s="7" customFormat="1" ht="30.75" customHeight="1">
      <c r="A107" s="68"/>
      <c r="B107" s="156">
        <v>75702</v>
      </c>
      <c r="C107" s="91" t="s">
        <v>38</v>
      </c>
      <c r="D107" s="56">
        <f>SUM(D108:D109)</f>
        <v>8059160</v>
      </c>
      <c r="E107" s="56">
        <f>SUM(E108:E109)</f>
        <v>11720000</v>
      </c>
      <c r="F107" s="56">
        <f>SUM(F108:F109)</f>
        <v>11720000</v>
      </c>
      <c r="G107" s="56"/>
      <c r="H107" s="56"/>
      <c r="I107" s="130">
        <f t="shared" si="3"/>
        <v>1.4542458519250145</v>
      </c>
    </row>
    <row r="108" spans="1:9" s="7" customFormat="1" ht="28.5" customHeight="1">
      <c r="A108" s="68"/>
      <c r="B108" s="68"/>
      <c r="C108" s="89" t="s">
        <v>300</v>
      </c>
      <c r="D108" s="71">
        <v>7559160</v>
      </c>
      <c r="E108" s="71">
        <v>9620000</v>
      </c>
      <c r="F108" s="71">
        <v>9620000</v>
      </c>
      <c r="G108" s="71"/>
      <c r="H108" s="71"/>
      <c r="I108" s="136">
        <f t="shared" si="3"/>
        <v>1.2726281756173967</v>
      </c>
    </row>
    <row r="109" spans="1:9" s="7" customFormat="1" ht="19.5" customHeight="1">
      <c r="A109" s="72"/>
      <c r="B109" s="72"/>
      <c r="C109" s="85" t="s">
        <v>301</v>
      </c>
      <c r="D109" s="73">
        <v>500000</v>
      </c>
      <c r="E109" s="73">
        <v>2100000</v>
      </c>
      <c r="F109" s="73">
        <v>2100000</v>
      </c>
      <c r="G109" s="73"/>
      <c r="H109" s="73"/>
      <c r="I109" s="138">
        <f t="shared" si="3"/>
        <v>4.2</v>
      </c>
    </row>
    <row r="110" spans="1:9" s="7" customFormat="1" ht="19.5" customHeight="1">
      <c r="A110" s="51">
        <v>758</v>
      </c>
      <c r="B110" s="51"/>
      <c r="C110" s="51" t="s">
        <v>39</v>
      </c>
      <c r="D110" s="52">
        <f>D114+D119+D111+D121</f>
        <v>3440651</v>
      </c>
      <c r="E110" s="52">
        <f>E114+E119+E111+E121</f>
        <v>14714591</v>
      </c>
      <c r="F110" s="52">
        <f>F114+F119+F111+F121</f>
        <v>10114591</v>
      </c>
      <c r="G110" s="52"/>
      <c r="H110" s="52">
        <f>H114+H119+H111</f>
        <v>4600000</v>
      </c>
      <c r="I110" s="129">
        <f>E110/D110</f>
        <v>4.276688045372809</v>
      </c>
    </row>
    <row r="111" spans="1:9" s="7" customFormat="1" ht="19.5" customHeight="1">
      <c r="A111" s="68"/>
      <c r="B111" s="55">
        <v>75814</v>
      </c>
      <c r="C111" s="55" t="s">
        <v>220</v>
      </c>
      <c r="D111" s="56">
        <f>SUM(D112:D113)</f>
        <v>3358150</v>
      </c>
      <c r="E111" s="56">
        <f>SUM(E112:E113)</f>
        <v>2586544</v>
      </c>
      <c r="F111" s="56">
        <f>SUM(F112:F113)</f>
        <v>2586544</v>
      </c>
      <c r="G111" s="56"/>
      <c r="H111" s="56"/>
      <c r="I111" s="130">
        <f>E111/D111</f>
        <v>0.7702288462397451</v>
      </c>
    </row>
    <row r="112" spans="1:9" s="7" customFormat="1" ht="20.25" customHeight="1">
      <c r="A112" s="68"/>
      <c r="B112" s="68"/>
      <c r="C112" s="89" t="s">
        <v>221</v>
      </c>
      <c r="D112" s="71">
        <v>55524</v>
      </c>
      <c r="E112" s="71"/>
      <c r="F112" s="71"/>
      <c r="G112" s="71"/>
      <c r="H112" s="71"/>
      <c r="I112" s="136"/>
    </row>
    <row r="113" spans="1:9" s="7" customFormat="1" ht="19.5" customHeight="1">
      <c r="A113" s="68"/>
      <c r="B113" s="72"/>
      <c r="C113" s="63" t="s">
        <v>222</v>
      </c>
      <c r="D113" s="64">
        <v>3302626</v>
      </c>
      <c r="E113" s="64">
        <v>2586544</v>
      </c>
      <c r="F113" s="64">
        <v>2586544</v>
      </c>
      <c r="G113" s="64"/>
      <c r="H113" s="64"/>
      <c r="I113" s="141">
        <f>E113/D113</f>
        <v>0.7831779923006722</v>
      </c>
    </row>
    <row r="114" spans="1:9" s="7" customFormat="1" ht="19.5" customHeight="1">
      <c r="A114" s="68"/>
      <c r="B114" s="74">
        <v>75818</v>
      </c>
      <c r="C114" s="74" t="s">
        <v>40</v>
      </c>
      <c r="D114" s="75"/>
      <c r="E114" s="75">
        <f>SUM(E115:E117)</f>
        <v>12053047</v>
      </c>
      <c r="F114" s="75">
        <f>SUM(F115:F117)</f>
        <v>7453047</v>
      </c>
      <c r="G114" s="75"/>
      <c r="H114" s="75">
        <f>SUM(H115:H117)</f>
        <v>4600000</v>
      </c>
      <c r="I114" s="139"/>
    </row>
    <row r="115" spans="1:9" s="7" customFormat="1" ht="20.25" customHeight="1">
      <c r="A115" s="68"/>
      <c r="B115" s="69"/>
      <c r="C115" s="89" t="s">
        <v>117</v>
      </c>
      <c r="D115" s="71"/>
      <c r="E115" s="71">
        <f>6653047-50000</f>
        <v>6603047</v>
      </c>
      <c r="F115" s="71">
        <f>6653047-50000</f>
        <v>6603047</v>
      </c>
      <c r="G115" s="71"/>
      <c r="H115" s="71"/>
      <c r="I115" s="136"/>
    </row>
    <row r="116" spans="1:9" s="7" customFormat="1" ht="29.25" customHeight="1">
      <c r="A116" s="68"/>
      <c r="B116" s="68"/>
      <c r="C116" s="76" t="s">
        <v>317</v>
      </c>
      <c r="D116" s="77"/>
      <c r="E116" s="77">
        <v>4950000</v>
      </c>
      <c r="F116" s="77">
        <v>350000</v>
      </c>
      <c r="G116" s="77"/>
      <c r="H116" s="77">
        <v>4600000</v>
      </c>
      <c r="I116" s="137"/>
    </row>
    <row r="117" spans="1:9" s="7" customFormat="1" ht="28.5" customHeight="1">
      <c r="A117" s="72"/>
      <c r="B117" s="72"/>
      <c r="C117" s="85" t="s">
        <v>266</v>
      </c>
      <c r="D117" s="73"/>
      <c r="E117" s="73">
        <v>500000</v>
      </c>
      <c r="F117" s="73">
        <v>500000</v>
      </c>
      <c r="G117" s="73"/>
      <c r="H117" s="73"/>
      <c r="I117" s="138"/>
    </row>
    <row r="118" spans="1:9" s="7" customFormat="1" ht="19.5" customHeight="1">
      <c r="A118" s="184"/>
      <c r="B118" s="184"/>
      <c r="C118" s="192"/>
      <c r="D118" s="185"/>
      <c r="E118" s="185"/>
      <c r="F118" s="185"/>
      <c r="G118" s="185"/>
      <c r="H118" s="185"/>
      <c r="I118" s="186"/>
    </row>
    <row r="119" spans="1:9" s="7" customFormat="1" ht="19.5" customHeight="1">
      <c r="A119" s="68"/>
      <c r="B119" s="74">
        <v>75820</v>
      </c>
      <c r="C119" s="74" t="s">
        <v>41</v>
      </c>
      <c r="D119" s="75">
        <f>D120</f>
        <v>61000</v>
      </c>
      <c r="E119" s="75">
        <f>E120</f>
        <v>50000</v>
      </c>
      <c r="F119" s="75">
        <f>F120</f>
        <v>50000</v>
      </c>
      <c r="G119" s="75"/>
      <c r="H119" s="75"/>
      <c r="I119" s="139">
        <f>E119/D119</f>
        <v>0.819672131147541</v>
      </c>
    </row>
    <row r="120" spans="1:9" s="7" customFormat="1" ht="19.5" customHeight="1">
      <c r="A120" s="68"/>
      <c r="B120" s="72"/>
      <c r="C120" s="72" t="s">
        <v>244</v>
      </c>
      <c r="D120" s="73">
        <v>61000</v>
      </c>
      <c r="E120" s="73">
        <v>50000</v>
      </c>
      <c r="F120" s="73">
        <v>50000</v>
      </c>
      <c r="G120" s="73"/>
      <c r="H120" s="73"/>
      <c r="I120" s="131">
        <f>E120/D120</f>
        <v>0.819672131147541</v>
      </c>
    </row>
    <row r="121" spans="1:9" s="7" customFormat="1" ht="19.5" customHeight="1">
      <c r="A121" s="68"/>
      <c r="B121" s="74">
        <v>75860</v>
      </c>
      <c r="C121" s="74" t="s">
        <v>327</v>
      </c>
      <c r="D121" s="75">
        <f>SUM(D122)</f>
        <v>21501</v>
      </c>
      <c r="E121" s="75">
        <f>SUM(E122)</f>
        <v>25000</v>
      </c>
      <c r="F121" s="75">
        <f>SUM(F122)</f>
        <v>25000</v>
      </c>
      <c r="G121" s="75"/>
      <c r="H121" s="75"/>
      <c r="I121" s="139">
        <f>E121/D121</f>
        <v>1.1627366169015394</v>
      </c>
    </row>
    <row r="122" spans="1:9" s="7" customFormat="1" ht="19.5" customHeight="1">
      <c r="A122" s="72"/>
      <c r="B122" s="72"/>
      <c r="C122" s="63" t="s">
        <v>246</v>
      </c>
      <c r="D122" s="64">
        <v>21501</v>
      </c>
      <c r="E122" s="64">
        <v>25000</v>
      </c>
      <c r="F122" s="64">
        <v>25000</v>
      </c>
      <c r="G122" s="64"/>
      <c r="H122" s="64"/>
      <c r="I122" s="141">
        <f>E122/D122</f>
        <v>1.1627366169015394</v>
      </c>
    </row>
    <row r="123" spans="1:9" s="7" customFormat="1" ht="18" customHeight="1">
      <c r="A123" s="51">
        <v>801</v>
      </c>
      <c r="B123" s="51"/>
      <c r="C123" s="51" t="s">
        <v>42</v>
      </c>
      <c r="D123" s="52">
        <f>D124+D134+D138+D154+D160+D164+D166+D172+D176+D185+D195+D199+D204+D206+D210+D215+D150+D181+D191</f>
        <v>334054365</v>
      </c>
      <c r="E123" s="52">
        <f>E124+E134+E138+E154+E160+E164+E166+E172+E176+E185+E195+E199+E204+E206+E210+E215+E150+E181+E191</f>
        <v>319927000</v>
      </c>
      <c r="F123" s="52">
        <f>F124+F134+F138+F154+F160+F164+F166+F172+F176+F185+F195+F199+F204+F206+F210+F215+F150+F181+F191</f>
        <v>304798000</v>
      </c>
      <c r="G123" s="52">
        <f>G124+G134+G138+G154+G160+G164+G166+G172+G176+G185+G195+G199+G204+G206+G210+G215+G150+G181+G191</f>
        <v>2100000</v>
      </c>
      <c r="H123" s="52">
        <f>H124+H134+H138+H154+H160+H164+H166+H172+H176+H185+H195+H199+H204+H206+H210+H215+H150+H181+H191</f>
        <v>15129000</v>
      </c>
      <c r="I123" s="129">
        <f t="shared" si="3"/>
        <v>0.9577093836208367</v>
      </c>
    </row>
    <row r="124" spans="1:9" s="7" customFormat="1" ht="20.25" customHeight="1">
      <c r="A124" s="68"/>
      <c r="B124" s="55">
        <v>80101</v>
      </c>
      <c r="C124" s="55" t="s">
        <v>43</v>
      </c>
      <c r="D124" s="56">
        <f>D125+D126+D127+D128+D130+D131+D132+D133</f>
        <v>93080291</v>
      </c>
      <c r="E124" s="56">
        <f>E125+E126+E127+E128+E130+E131+E132+E133</f>
        <v>88580000</v>
      </c>
      <c r="F124" s="56">
        <f>F125+F126+F127+F128+F130+F131+F132+F133</f>
        <v>80403000</v>
      </c>
      <c r="G124" s="56">
        <f>G125+G126+G127+G128+G130+G131+G132+G133</f>
        <v>500000</v>
      </c>
      <c r="H124" s="56">
        <f>H125+H126+H127+H128+H130+H131+H132+H133</f>
        <v>8177000</v>
      </c>
      <c r="I124" s="130">
        <f t="shared" si="3"/>
        <v>0.9516515155716477</v>
      </c>
    </row>
    <row r="125" spans="1:10" s="7" customFormat="1" ht="19.5" customHeight="1">
      <c r="A125" s="68"/>
      <c r="B125" s="68"/>
      <c r="C125" s="70" t="s">
        <v>326</v>
      </c>
      <c r="D125" s="71">
        <f>55406076-195986+2247982+273-112255</f>
        <v>57346090</v>
      </c>
      <c r="E125" s="71">
        <v>56319300</v>
      </c>
      <c r="F125" s="71">
        <v>56319300</v>
      </c>
      <c r="G125" s="71"/>
      <c r="H125" s="71"/>
      <c r="I125" s="136">
        <f t="shared" si="3"/>
        <v>0.9820948559875661</v>
      </c>
      <c r="J125" s="155"/>
    </row>
    <row r="126" spans="1:10" s="7" customFormat="1" ht="19.5" customHeight="1">
      <c r="A126" s="68"/>
      <c r="B126" s="68"/>
      <c r="C126" s="78" t="s">
        <v>44</v>
      </c>
      <c r="D126" s="77">
        <f>11063025+712083+15177-514438</f>
        <v>11275847</v>
      </c>
      <c r="E126" s="77">
        <v>11700000</v>
      </c>
      <c r="F126" s="77">
        <v>11700000</v>
      </c>
      <c r="G126" s="77">
        <v>500000</v>
      </c>
      <c r="H126" s="77"/>
      <c r="I126" s="137">
        <f t="shared" si="3"/>
        <v>1.0376160655603077</v>
      </c>
      <c r="J126" s="155"/>
    </row>
    <row r="127" spans="1:10" s="7" customFormat="1" ht="19.5" customHeight="1">
      <c r="A127" s="68"/>
      <c r="B127" s="68"/>
      <c r="C127" s="78" t="s">
        <v>45</v>
      </c>
      <c r="D127" s="77">
        <f>10802337-77294</f>
        <v>10725043</v>
      </c>
      <c r="E127" s="77">
        <v>10883100</v>
      </c>
      <c r="F127" s="77">
        <v>10883100</v>
      </c>
      <c r="G127" s="77"/>
      <c r="H127" s="77"/>
      <c r="I127" s="137">
        <f t="shared" si="3"/>
        <v>1.0147371903310785</v>
      </c>
      <c r="J127" s="155"/>
    </row>
    <row r="128" spans="1:10" s="7" customFormat="1" ht="19.5" customHeight="1">
      <c r="A128" s="68"/>
      <c r="B128" s="68"/>
      <c r="C128" s="187" t="s">
        <v>232</v>
      </c>
      <c r="D128" s="188">
        <f>356536+281-24805</f>
        <v>332012</v>
      </c>
      <c r="E128" s="188">
        <v>370000</v>
      </c>
      <c r="F128" s="188">
        <v>370000</v>
      </c>
      <c r="G128" s="188"/>
      <c r="H128" s="188"/>
      <c r="I128" s="189">
        <f t="shared" si="3"/>
        <v>1.1144175511728491</v>
      </c>
      <c r="J128" s="155"/>
    </row>
    <row r="129" spans="1:10" s="7" customFormat="1" ht="18" customHeight="1">
      <c r="A129" s="68"/>
      <c r="B129" s="68"/>
      <c r="C129" s="193" t="s">
        <v>332</v>
      </c>
      <c r="D129" s="194">
        <v>262044</v>
      </c>
      <c r="E129" s="194">
        <v>300000</v>
      </c>
      <c r="F129" s="194">
        <v>300000</v>
      </c>
      <c r="G129" s="194"/>
      <c r="H129" s="194"/>
      <c r="I129" s="195">
        <f>E129/D129</f>
        <v>1.1448459037413563</v>
      </c>
      <c r="J129" s="155"/>
    </row>
    <row r="130" spans="1:10" s="7" customFormat="1" ht="19.5" customHeight="1">
      <c r="A130" s="68"/>
      <c r="B130" s="68"/>
      <c r="C130" s="78" t="s">
        <v>118</v>
      </c>
      <c r="D130" s="77">
        <f>1031067+68724</f>
        <v>1099791</v>
      </c>
      <c r="E130" s="77">
        <v>1100000</v>
      </c>
      <c r="F130" s="77">
        <v>1100000</v>
      </c>
      <c r="G130" s="77"/>
      <c r="H130" s="77"/>
      <c r="I130" s="137">
        <f t="shared" si="3"/>
        <v>1.0001900361068603</v>
      </c>
      <c r="J130" s="155"/>
    </row>
    <row r="131" spans="1:10" s="7" customFormat="1" ht="19.5" customHeight="1">
      <c r="A131" s="68"/>
      <c r="B131" s="68"/>
      <c r="C131" s="78" t="s">
        <v>269</v>
      </c>
      <c r="D131" s="77">
        <v>29640</v>
      </c>
      <c r="E131" s="77">
        <v>30600</v>
      </c>
      <c r="F131" s="77">
        <v>30600</v>
      </c>
      <c r="G131" s="77"/>
      <c r="H131" s="77"/>
      <c r="I131" s="137">
        <f>E131/D131</f>
        <v>1.0323886639676114</v>
      </c>
      <c r="J131" s="155"/>
    </row>
    <row r="132" spans="1:9" s="7" customFormat="1" ht="19.5" customHeight="1">
      <c r="A132" s="68"/>
      <c r="B132" s="68"/>
      <c r="C132" s="78" t="s">
        <v>268</v>
      </c>
      <c r="D132" s="77">
        <v>51646</v>
      </c>
      <c r="E132" s="77"/>
      <c r="F132" s="77"/>
      <c r="G132" s="77"/>
      <c r="H132" s="77"/>
      <c r="I132" s="137"/>
    </row>
    <row r="133" spans="1:9" s="7" customFormat="1" ht="19.5" customHeight="1">
      <c r="A133" s="68"/>
      <c r="B133" s="72"/>
      <c r="C133" s="72" t="s">
        <v>6</v>
      </c>
      <c r="D133" s="73">
        <v>12220222</v>
      </c>
      <c r="E133" s="73">
        <f>8377000-200000</f>
        <v>8177000</v>
      </c>
      <c r="F133" s="73"/>
      <c r="G133" s="73"/>
      <c r="H133" s="73">
        <f>8377000-200000</f>
        <v>8177000</v>
      </c>
      <c r="I133" s="138">
        <f t="shared" si="3"/>
        <v>0.669136780002851</v>
      </c>
    </row>
    <row r="134" spans="1:9" s="7" customFormat="1" ht="19.5" customHeight="1">
      <c r="A134" s="68"/>
      <c r="B134" s="55">
        <v>80102</v>
      </c>
      <c r="C134" s="55" t="s">
        <v>46</v>
      </c>
      <c r="D134" s="56">
        <f>SUM(D135:D137)</f>
        <v>6092600</v>
      </c>
      <c r="E134" s="56">
        <f>SUM(E135:E137)</f>
        <v>5928400</v>
      </c>
      <c r="F134" s="56">
        <f>SUM(F135:F137)</f>
        <v>5928400</v>
      </c>
      <c r="G134" s="56"/>
      <c r="H134" s="56"/>
      <c r="I134" s="130">
        <f t="shared" si="3"/>
        <v>0.973049272888422</v>
      </c>
    </row>
    <row r="135" spans="1:9" s="7" customFormat="1" ht="19.5" customHeight="1">
      <c r="A135" s="68"/>
      <c r="B135" s="68"/>
      <c r="C135" s="70" t="s">
        <v>326</v>
      </c>
      <c r="D135" s="71">
        <f>4517500+15000+200000-43000</f>
        <v>4689500</v>
      </c>
      <c r="E135" s="71">
        <v>4550900</v>
      </c>
      <c r="F135" s="71">
        <v>4550900</v>
      </c>
      <c r="G135" s="71"/>
      <c r="H135" s="71"/>
      <c r="I135" s="136">
        <f t="shared" si="3"/>
        <v>0.9704446102996055</v>
      </c>
    </row>
    <row r="136" spans="1:9" s="7" customFormat="1" ht="19.5" customHeight="1">
      <c r="A136" s="68"/>
      <c r="B136" s="68"/>
      <c r="C136" s="78" t="s">
        <v>44</v>
      </c>
      <c r="D136" s="77">
        <v>484100</v>
      </c>
      <c r="E136" s="77">
        <v>490000</v>
      </c>
      <c r="F136" s="77">
        <v>490000</v>
      </c>
      <c r="G136" s="77"/>
      <c r="H136" s="77"/>
      <c r="I136" s="137">
        <f t="shared" si="3"/>
        <v>1.0121875645527783</v>
      </c>
    </row>
    <row r="137" spans="1:9" s="7" customFormat="1" ht="19.5" customHeight="1">
      <c r="A137" s="68"/>
      <c r="B137" s="72"/>
      <c r="C137" s="82" t="s">
        <v>45</v>
      </c>
      <c r="D137" s="64">
        <f>873500+45500</f>
        <v>919000</v>
      </c>
      <c r="E137" s="64">
        <v>887500</v>
      </c>
      <c r="F137" s="64">
        <v>887500</v>
      </c>
      <c r="G137" s="64"/>
      <c r="H137" s="64"/>
      <c r="I137" s="141">
        <f t="shared" si="3"/>
        <v>0.9657236126224157</v>
      </c>
    </row>
    <row r="138" spans="1:9" s="43" customFormat="1" ht="19.5" customHeight="1">
      <c r="A138" s="54"/>
      <c r="B138" s="118">
        <v>80104</v>
      </c>
      <c r="C138" s="84" t="s">
        <v>155</v>
      </c>
      <c r="D138" s="75">
        <f>D139+D143</f>
        <v>46586542</v>
      </c>
      <c r="E138" s="75">
        <f>E139+E143</f>
        <v>47034800</v>
      </c>
      <c r="F138" s="75">
        <f>F139+F143</f>
        <v>46796300</v>
      </c>
      <c r="G138" s="75">
        <f>G139+G143</f>
        <v>100000</v>
      </c>
      <c r="H138" s="75">
        <f>H139+H143</f>
        <v>238500</v>
      </c>
      <c r="I138" s="139">
        <f t="shared" si="3"/>
        <v>1.0096220492175616</v>
      </c>
    </row>
    <row r="139" spans="1:9" s="43" customFormat="1" ht="19.5" customHeight="1">
      <c r="A139" s="54"/>
      <c r="B139" s="159"/>
      <c r="C139" s="160" t="s">
        <v>225</v>
      </c>
      <c r="D139" s="161">
        <f>SUM(D140:D142)</f>
        <v>1292268</v>
      </c>
      <c r="E139" s="161">
        <f>SUM(E140:E142)</f>
        <v>1525000</v>
      </c>
      <c r="F139" s="161">
        <f>SUM(F140:F142)</f>
        <v>1525000</v>
      </c>
      <c r="G139" s="161"/>
      <c r="H139" s="161"/>
      <c r="I139" s="163">
        <f>E139/D139</f>
        <v>1.1800957696081618</v>
      </c>
    </row>
    <row r="140" spans="1:9" s="7" customFormat="1" ht="19.5" customHeight="1">
      <c r="A140" s="68"/>
      <c r="B140" s="68"/>
      <c r="C140" s="97" t="s">
        <v>326</v>
      </c>
      <c r="D140" s="60">
        <f>951000+4335+36000-18000</f>
        <v>973335</v>
      </c>
      <c r="E140" s="60">
        <v>1160500</v>
      </c>
      <c r="F140" s="60">
        <v>1160500</v>
      </c>
      <c r="G140" s="60"/>
      <c r="H140" s="60"/>
      <c r="I140" s="134">
        <f>E140/D140</f>
        <v>1.1922924789512346</v>
      </c>
    </row>
    <row r="141" spans="1:9" s="7" customFormat="1" ht="19.5" customHeight="1">
      <c r="A141" s="68"/>
      <c r="B141" s="68"/>
      <c r="C141" s="78" t="s">
        <v>44</v>
      </c>
      <c r="D141" s="77">
        <f>131966-55</f>
        <v>131911</v>
      </c>
      <c r="E141" s="77">
        <v>138000</v>
      </c>
      <c r="F141" s="77">
        <v>138000</v>
      </c>
      <c r="G141" s="77"/>
      <c r="H141" s="77"/>
      <c r="I141" s="137">
        <f>E141/D141</f>
        <v>1.0461599108489814</v>
      </c>
    </row>
    <row r="142" spans="1:9" s="7" customFormat="1" ht="19.5" customHeight="1">
      <c r="A142" s="68"/>
      <c r="B142" s="68"/>
      <c r="C142" s="78" t="s">
        <v>45</v>
      </c>
      <c r="D142" s="77">
        <f>178990+8032</f>
        <v>187022</v>
      </c>
      <c r="E142" s="77">
        <v>226500</v>
      </c>
      <c r="F142" s="77">
        <v>226500</v>
      </c>
      <c r="G142" s="77"/>
      <c r="H142" s="77"/>
      <c r="I142" s="137">
        <f>E142/D142</f>
        <v>1.2110874656457529</v>
      </c>
    </row>
    <row r="143" spans="1:9" s="43" customFormat="1" ht="19.5" customHeight="1">
      <c r="A143" s="54"/>
      <c r="B143" s="159"/>
      <c r="C143" s="165" t="s">
        <v>226</v>
      </c>
      <c r="D143" s="166">
        <f>SUM(D144:D148)</f>
        <v>45294274</v>
      </c>
      <c r="E143" s="166">
        <f>SUM(E144:E148)</f>
        <v>45509800</v>
      </c>
      <c r="F143" s="166">
        <f>SUM(F144:F148)</f>
        <v>45271300</v>
      </c>
      <c r="G143" s="166">
        <f>SUM(G144:G148)</f>
        <v>100000</v>
      </c>
      <c r="H143" s="166">
        <f>SUM(H144:H148)</f>
        <v>238500</v>
      </c>
      <c r="I143" s="167">
        <f>E143/D143</f>
        <v>1.0047583498081898</v>
      </c>
    </row>
    <row r="144" spans="1:9" s="7" customFormat="1" ht="19.5" customHeight="1">
      <c r="A144" s="68"/>
      <c r="B144" s="68"/>
      <c r="C144" s="97" t="s">
        <v>326</v>
      </c>
      <c r="D144" s="60">
        <f>28905186-60000+783000-1000</f>
        <v>29627186</v>
      </c>
      <c r="E144" s="60">
        <v>29700000</v>
      </c>
      <c r="F144" s="60">
        <v>29700000</v>
      </c>
      <c r="G144" s="60"/>
      <c r="H144" s="60"/>
      <c r="I144" s="134">
        <f t="shared" si="3"/>
        <v>1.0024576751906171</v>
      </c>
    </row>
    <row r="145" spans="1:9" s="7" customFormat="1" ht="19.5" customHeight="1">
      <c r="A145" s="68"/>
      <c r="B145" s="68"/>
      <c r="C145" s="78" t="s">
        <v>44</v>
      </c>
      <c r="D145" s="77">
        <f>5922624+15215-44838</f>
        <v>5893001</v>
      </c>
      <c r="E145" s="77">
        <v>5655300</v>
      </c>
      <c r="F145" s="77">
        <v>5655300</v>
      </c>
      <c r="G145" s="77">
        <v>100000</v>
      </c>
      <c r="H145" s="77"/>
      <c r="I145" s="137">
        <f t="shared" si="3"/>
        <v>0.9596638452971584</v>
      </c>
    </row>
    <row r="146" spans="1:9" s="7" customFormat="1" ht="19.5" customHeight="1">
      <c r="A146" s="68"/>
      <c r="B146" s="68"/>
      <c r="C146" s="78" t="s">
        <v>45</v>
      </c>
      <c r="D146" s="77">
        <v>5463002</v>
      </c>
      <c r="E146" s="77">
        <v>5616000</v>
      </c>
      <c r="F146" s="77">
        <v>5616000</v>
      </c>
      <c r="G146" s="77"/>
      <c r="H146" s="77"/>
      <c r="I146" s="137">
        <f t="shared" si="3"/>
        <v>1.0280062134335664</v>
      </c>
    </row>
    <row r="147" spans="1:9" s="7" customFormat="1" ht="19.5" customHeight="1">
      <c r="A147" s="68"/>
      <c r="B147" s="68"/>
      <c r="C147" s="78" t="s">
        <v>302</v>
      </c>
      <c r="D147" s="77">
        <v>4247470</v>
      </c>
      <c r="E147" s="77">
        <f>4500000-200000</f>
        <v>4300000</v>
      </c>
      <c r="F147" s="77">
        <f>4500000-200000</f>
        <v>4300000</v>
      </c>
      <c r="G147" s="77"/>
      <c r="H147" s="77"/>
      <c r="I147" s="137">
        <f>E147/D147</f>
        <v>1.0123673622179792</v>
      </c>
    </row>
    <row r="148" spans="1:9" s="7" customFormat="1" ht="19.5" customHeight="1">
      <c r="A148" s="68"/>
      <c r="B148" s="68"/>
      <c r="C148" s="68" t="s">
        <v>6</v>
      </c>
      <c r="D148" s="80">
        <f>33992+29623</f>
        <v>63615</v>
      </c>
      <c r="E148" s="80">
        <v>238500</v>
      </c>
      <c r="F148" s="80"/>
      <c r="G148" s="80"/>
      <c r="H148" s="80">
        <v>238500</v>
      </c>
      <c r="I148" s="140">
        <f>E148/D148</f>
        <v>3.7491157745814667</v>
      </c>
    </row>
    <row r="149" spans="1:9" s="7" customFormat="1" ht="19.5" customHeight="1">
      <c r="A149" s="184"/>
      <c r="B149" s="184"/>
      <c r="C149" s="184"/>
      <c r="D149" s="185"/>
      <c r="E149" s="185"/>
      <c r="F149" s="185"/>
      <c r="G149" s="185"/>
      <c r="H149" s="185"/>
      <c r="I149" s="186"/>
    </row>
    <row r="150" spans="1:9" s="43" customFormat="1" ht="19.5" customHeight="1">
      <c r="A150" s="54"/>
      <c r="B150" s="118">
        <v>80105</v>
      </c>
      <c r="C150" s="84" t="s">
        <v>64</v>
      </c>
      <c r="D150" s="75">
        <f>SUM(D151:D153)</f>
        <v>1622384</v>
      </c>
      <c r="E150" s="75">
        <f>SUM(E151:E153)</f>
        <v>1468200</v>
      </c>
      <c r="F150" s="75">
        <f>SUM(F151:F153)</f>
        <v>1468200</v>
      </c>
      <c r="G150" s="75"/>
      <c r="H150" s="75"/>
      <c r="I150" s="139">
        <f t="shared" si="3"/>
        <v>0.9049645460014398</v>
      </c>
    </row>
    <row r="151" spans="1:9" s="7" customFormat="1" ht="19.5" customHeight="1">
      <c r="A151" s="68"/>
      <c r="B151" s="68"/>
      <c r="C151" s="70" t="s">
        <v>326</v>
      </c>
      <c r="D151" s="71">
        <f>1192500+3530+74500+10000</f>
        <v>1280530</v>
      </c>
      <c r="E151" s="71">
        <v>1118200</v>
      </c>
      <c r="F151" s="71">
        <v>1118200</v>
      </c>
      <c r="G151" s="71"/>
      <c r="H151" s="71"/>
      <c r="I151" s="136">
        <f t="shared" si="3"/>
        <v>0.8732321773015861</v>
      </c>
    </row>
    <row r="152" spans="1:9" s="7" customFormat="1" ht="19.5" customHeight="1">
      <c r="A152" s="68"/>
      <c r="B152" s="68"/>
      <c r="C152" s="78" t="s">
        <v>44</v>
      </c>
      <c r="D152" s="77">
        <f>148500-2924</f>
        <v>145576</v>
      </c>
      <c r="E152" s="77">
        <v>150000</v>
      </c>
      <c r="F152" s="77">
        <v>150000</v>
      </c>
      <c r="G152" s="77"/>
      <c r="H152" s="77"/>
      <c r="I152" s="137">
        <f t="shared" si="3"/>
        <v>1.0303896246634061</v>
      </c>
    </row>
    <row r="153" spans="1:9" s="7" customFormat="1" ht="19.5" customHeight="1">
      <c r="A153" s="68"/>
      <c r="B153" s="72"/>
      <c r="C153" s="82" t="s">
        <v>45</v>
      </c>
      <c r="D153" s="64">
        <f>196500-222</f>
        <v>196278</v>
      </c>
      <c r="E153" s="64">
        <v>200000</v>
      </c>
      <c r="F153" s="64">
        <v>200000</v>
      </c>
      <c r="G153" s="64"/>
      <c r="H153" s="64"/>
      <c r="I153" s="141">
        <f t="shared" si="3"/>
        <v>1.018962899560827</v>
      </c>
    </row>
    <row r="154" spans="1:9" s="43" customFormat="1" ht="19.5" customHeight="1">
      <c r="A154" s="54"/>
      <c r="B154" s="74">
        <v>80110</v>
      </c>
      <c r="C154" s="74" t="s">
        <v>47</v>
      </c>
      <c r="D154" s="75">
        <f>SUM(D155:D159)</f>
        <v>56500881</v>
      </c>
      <c r="E154" s="75">
        <f>SUM(E155:E159)</f>
        <v>51188000</v>
      </c>
      <c r="F154" s="75">
        <f>SUM(F155:F159)</f>
        <v>48276000</v>
      </c>
      <c r="G154" s="75">
        <f>SUM(G155:G159)</f>
        <v>500000</v>
      </c>
      <c r="H154" s="75">
        <f>SUM(H155:H159)</f>
        <v>2912000</v>
      </c>
      <c r="I154" s="139">
        <f t="shared" si="3"/>
        <v>0.9059681741953722</v>
      </c>
    </row>
    <row r="155" spans="1:9" s="7" customFormat="1" ht="19.5" customHeight="1">
      <c r="A155" s="68"/>
      <c r="B155" s="68"/>
      <c r="C155" s="70" t="s">
        <v>326</v>
      </c>
      <c r="D155" s="71">
        <f>30314000+315800+1950000+63000</f>
        <v>32642800</v>
      </c>
      <c r="E155" s="71">
        <v>32984300</v>
      </c>
      <c r="F155" s="71">
        <v>32984300</v>
      </c>
      <c r="G155" s="71"/>
      <c r="H155" s="71"/>
      <c r="I155" s="136">
        <f t="shared" si="3"/>
        <v>1.0104617250971117</v>
      </c>
    </row>
    <row r="156" spans="1:9" s="7" customFormat="1" ht="19.5" customHeight="1">
      <c r="A156" s="68"/>
      <c r="B156" s="68"/>
      <c r="C156" s="78" t="s">
        <v>44</v>
      </c>
      <c r="D156" s="77">
        <f>6228987+8000-253089</f>
        <v>5983898</v>
      </c>
      <c r="E156" s="77">
        <v>6300000</v>
      </c>
      <c r="F156" s="77">
        <v>6300000</v>
      </c>
      <c r="G156" s="77">
        <v>500000</v>
      </c>
      <c r="H156" s="77"/>
      <c r="I156" s="137">
        <f t="shared" si="3"/>
        <v>1.0528254325190702</v>
      </c>
    </row>
    <row r="157" spans="1:9" s="7" customFormat="1" ht="19.5" customHeight="1">
      <c r="A157" s="68"/>
      <c r="B157" s="68"/>
      <c r="C157" s="78" t="s">
        <v>45</v>
      </c>
      <c r="D157" s="77">
        <f>5895000+45200-9900</f>
        <v>5930300</v>
      </c>
      <c r="E157" s="77">
        <v>6391700</v>
      </c>
      <c r="F157" s="77">
        <v>6391700</v>
      </c>
      <c r="G157" s="77"/>
      <c r="H157" s="77"/>
      <c r="I157" s="137">
        <f t="shared" si="3"/>
        <v>1.0778038210545842</v>
      </c>
    </row>
    <row r="158" spans="1:9" s="7" customFormat="1" ht="19.5" customHeight="1">
      <c r="A158" s="68"/>
      <c r="B158" s="68"/>
      <c r="C158" s="97" t="s">
        <v>303</v>
      </c>
      <c r="D158" s="60">
        <f>2258000+140114+145068</f>
        <v>2543182</v>
      </c>
      <c r="E158" s="60">
        <v>2600000</v>
      </c>
      <c r="F158" s="60">
        <v>2600000</v>
      </c>
      <c r="G158" s="60"/>
      <c r="H158" s="60"/>
      <c r="I158" s="134">
        <f aca="true" t="shared" si="6" ref="I158:I224">E158/D158</f>
        <v>1.0223413031391384</v>
      </c>
    </row>
    <row r="159" spans="1:9" s="7" customFormat="1" ht="19.5" customHeight="1">
      <c r="A159" s="68"/>
      <c r="B159" s="72"/>
      <c r="C159" s="72" t="s">
        <v>6</v>
      </c>
      <c r="D159" s="73">
        <v>9400701</v>
      </c>
      <c r="E159" s="73">
        <v>2912000</v>
      </c>
      <c r="F159" s="73"/>
      <c r="G159" s="73"/>
      <c r="H159" s="73">
        <v>2912000</v>
      </c>
      <c r="I159" s="138">
        <f t="shared" si="6"/>
        <v>0.30976413354706206</v>
      </c>
    </row>
    <row r="160" spans="1:9" s="43" customFormat="1" ht="19.5" customHeight="1">
      <c r="A160" s="54"/>
      <c r="B160" s="74">
        <v>80111</v>
      </c>
      <c r="C160" s="74" t="s">
        <v>139</v>
      </c>
      <c r="D160" s="75">
        <f>SUM(D161:D163)</f>
        <v>3804400</v>
      </c>
      <c r="E160" s="75">
        <f>SUM(E161:E163)</f>
        <v>3807000</v>
      </c>
      <c r="F160" s="75">
        <f>SUM(F161:F163)</f>
        <v>3807000</v>
      </c>
      <c r="G160" s="75"/>
      <c r="H160" s="75"/>
      <c r="I160" s="139">
        <f t="shared" si="6"/>
        <v>1.0006834191988223</v>
      </c>
    </row>
    <row r="161" spans="1:9" s="7" customFormat="1" ht="19.5" customHeight="1">
      <c r="A161" s="68"/>
      <c r="B161" s="68"/>
      <c r="C161" s="70" t="s">
        <v>326</v>
      </c>
      <c r="D161" s="71">
        <f>2635000+106000+250000-14400</f>
        <v>2976600</v>
      </c>
      <c r="E161" s="71">
        <v>2917800</v>
      </c>
      <c r="F161" s="71">
        <v>2917800</v>
      </c>
      <c r="G161" s="71"/>
      <c r="H161" s="71"/>
      <c r="I161" s="136">
        <f t="shared" si="6"/>
        <v>0.980245918161661</v>
      </c>
    </row>
    <row r="162" spans="1:9" s="7" customFormat="1" ht="19.5" customHeight="1">
      <c r="A162" s="68"/>
      <c r="B162" s="68"/>
      <c r="C162" s="78" t="s">
        <v>44</v>
      </c>
      <c r="D162" s="77">
        <f>317000-3000</f>
        <v>314000</v>
      </c>
      <c r="E162" s="77">
        <v>320000</v>
      </c>
      <c r="F162" s="77">
        <v>320000</v>
      </c>
      <c r="G162" s="77"/>
      <c r="H162" s="77"/>
      <c r="I162" s="137">
        <f t="shared" si="6"/>
        <v>1.019108280254777</v>
      </c>
    </row>
    <row r="163" spans="1:9" s="7" customFormat="1" ht="19.5" customHeight="1">
      <c r="A163" s="68"/>
      <c r="B163" s="72"/>
      <c r="C163" s="72" t="s">
        <v>45</v>
      </c>
      <c r="D163" s="73">
        <f>501000+12800</f>
        <v>513800</v>
      </c>
      <c r="E163" s="73">
        <v>569200</v>
      </c>
      <c r="F163" s="73">
        <v>569200</v>
      </c>
      <c r="G163" s="73"/>
      <c r="H163" s="73"/>
      <c r="I163" s="138">
        <f t="shared" si="6"/>
        <v>1.1078240560529389</v>
      </c>
    </row>
    <row r="164" spans="1:9" s="43" customFormat="1" ht="19.5" customHeight="1">
      <c r="A164" s="54"/>
      <c r="B164" s="74">
        <v>80113</v>
      </c>
      <c r="C164" s="74" t="s">
        <v>48</v>
      </c>
      <c r="D164" s="75">
        <f>D165</f>
        <v>495348</v>
      </c>
      <c r="E164" s="75">
        <f>E165</f>
        <v>500000</v>
      </c>
      <c r="F164" s="75">
        <f>F165</f>
        <v>500000</v>
      </c>
      <c r="G164" s="75"/>
      <c r="H164" s="75"/>
      <c r="I164" s="139">
        <f t="shared" si="6"/>
        <v>1.009391377375098</v>
      </c>
    </row>
    <row r="165" spans="1:9" s="7" customFormat="1" ht="19.5" customHeight="1">
      <c r="A165" s="68"/>
      <c r="B165" s="86"/>
      <c r="C165" s="86" t="s">
        <v>288</v>
      </c>
      <c r="D165" s="88">
        <f>475870+19478</f>
        <v>495348</v>
      </c>
      <c r="E165" s="88">
        <v>500000</v>
      </c>
      <c r="F165" s="88">
        <v>500000</v>
      </c>
      <c r="G165" s="88"/>
      <c r="H165" s="88"/>
      <c r="I165" s="131">
        <f t="shared" si="6"/>
        <v>1.009391377375098</v>
      </c>
    </row>
    <row r="166" spans="1:9" s="43" customFormat="1" ht="19.5" customHeight="1">
      <c r="A166" s="54"/>
      <c r="B166" s="74">
        <v>80120</v>
      </c>
      <c r="C166" s="74" t="s">
        <v>180</v>
      </c>
      <c r="D166" s="75">
        <f>SUM(D167:D171)</f>
        <v>43902739</v>
      </c>
      <c r="E166" s="75">
        <f>SUM(E167:E171)</f>
        <v>45519000</v>
      </c>
      <c r="F166" s="75">
        <f>SUM(F167:F171)</f>
        <v>44717500</v>
      </c>
      <c r="G166" s="75">
        <f>SUM(G167:G171)</f>
        <v>500000</v>
      </c>
      <c r="H166" s="75">
        <f>SUM(H167:H171)</f>
        <v>801500</v>
      </c>
      <c r="I166" s="139">
        <f t="shared" si="6"/>
        <v>1.0368145823430288</v>
      </c>
    </row>
    <row r="167" spans="1:9" s="7" customFormat="1" ht="19.5" customHeight="1">
      <c r="A167" s="68"/>
      <c r="B167" s="68"/>
      <c r="C167" s="70" t="s">
        <v>326</v>
      </c>
      <c r="D167" s="71">
        <f>26321600+1335430+2065000-199000</f>
        <v>29523030</v>
      </c>
      <c r="E167" s="71">
        <v>29947600</v>
      </c>
      <c r="F167" s="71">
        <v>29947600</v>
      </c>
      <c r="G167" s="71"/>
      <c r="H167" s="71"/>
      <c r="I167" s="136">
        <f t="shared" si="6"/>
        <v>1.014380976478363</v>
      </c>
    </row>
    <row r="168" spans="1:9" s="7" customFormat="1" ht="19.5" customHeight="1">
      <c r="A168" s="68"/>
      <c r="B168" s="68"/>
      <c r="C168" s="78" t="s">
        <v>44</v>
      </c>
      <c r="D168" s="77">
        <v>5058010</v>
      </c>
      <c r="E168" s="77">
        <v>5000000</v>
      </c>
      <c r="F168" s="77">
        <v>5000000</v>
      </c>
      <c r="G168" s="77">
        <v>500000</v>
      </c>
      <c r="H168" s="77"/>
      <c r="I168" s="137">
        <f t="shared" si="6"/>
        <v>0.9885310626115804</v>
      </c>
    </row>
    <row r="169" spans="1:9" s="7" customFormat="1" ht="19.5" customHeight="1">
      <c r="A169" s="68"/>
      <c r="B169" s="68"/>
      <c r="C169" s="78" t="s">
        <v>45</v>
      </c>
      <c r="D169" s="77">
        <f>5137000+211730</f>
        <v>5348730</v>
      </c>
      <c r="E169" s="77">
        <v>5769900</v>
      </c>
      <c r="F169" s="77">
        <v>5769900</v>
      </c>
      <c r="G169" s="77"/>
      <c r="H169" s="77"/>
      <c r="I169" s="137">
        <f t="shared" si="6"/>
        <v>1.0787420565255676</v>
      </c>
    </row>
    <row r="170" spans="1:9" s="7" customFormat="1" ht="19.5" customHeight="1">
      <c r="A170" s="68"/>
      <c r="B170" s="68"/>
      <c r="C170" s="76" t="s">
        <v>304</v>
      </c>
      <c r="D170" s="77">
        <f>3795000+11253-59084</f>
        <v>3747169</v>
      </c>
      <c r="E170" s="77">
        <v>4000000</v>
      </c>
      <c r="F170" s="77">
        <v>4000000</v>
      </c>
      <c r="G170" s="77"/>
      <c r="H170" s="77"/>
      <c r="I170" s="137">
        <f t="shared" si="6"/>
        <v>1.0674725372674678</v>
      </c>
    </row>
    <row r="171" spans="1:9" s="7" customFormat="1" ht="19.5" customHeight="1">
      <c r="A171" s="68"/>
      <c r="B171" s="72"/>
      <c r="C171" s="72" t="s">
        <v>6</v>
      </c>
      <c r="D171" s="73">
        <v>225800</v>
      </c>
      <c r="E171" s="73">
        <f>601500+200000</f>
        <v>801500</v>
      </c>
      <c r="F171" s="73"/>
      <c r="G171" s="73"/>
      <c r="H171" s="73">
        <f>601500+200000</f>
        <v>801500</v>
      </c>
      <c r="I171" s="138">
        <f t="shared" si="6"/>
        <v>3.5496014171833483</v>
      </c>
    </row>
    <row r="172" spans="1:9" s="43" customFormat="1" ht="19.5" customHeight="1">
      <c r="A172" s="54"/>
      <c r="B172" s="74">
        <v>80121</v>
      </c>
      <c r="C172" s="74" t="s">
        <v>179</v>
      </c>
      <c r="D172" s="75">
        <f>SUM(D173:D175)</f>
        <v>1338400</v>
      </c>
      <c r="E172" s="75">
        <f>SUM(E173:E175)</f>
        <v>1322000</v>
      </c>
      <c r="F172" s="75">
        <f>SUM(F173:F175)</f>
        <v>1322000</v>
      </c>
      <c r="G172" s="75"/>
      <c r="H172" s="75"/>
      <c r="I172" s="139">
        <f t="shared" si="6"/>
        <v>0.9877465630603706</v>
      </c>
    </row>
    <row r="173" spans="1:9" s="7" customFormat="1" ht="19.5" customHeight="1">
      <c r="A173" s="68"/>
      <c r="B173" s="68"/>
      <c r="C173" s="70" t="s">
        <v>326</v>
      </c>
      <c r="D173" s="71">
        <f>1083000-95800+23000+22200</f>
        <v>1032400</v>
      </c>
      <c r="E173" s="71">
        <v>1015400</v>
      </c>
      <c r="F173" s="71">
        <v>1015400</v>
      </c>
      <c r="G173" s="71"/>
      <c r="H173" s="71"/>
      <c r="I173" s="136">
        <f t="shared" si="6"/>
        <v>0.9835335141418055</v>
      </c>
    </row>
    <row r="174" spans="1:9" s="7" customFormat="1" ht="19.5" customHeight="1">
      <c r="A174" s="68"/>
      <c r="B174" s="68"/>
      <c r="C174" s="78" t="s">
        <v>44</v>
      </c>
      <c r="D174" s="77">
        <f>114000-6000</f>
        <v>108000</v>
      </c>
      <c r="E174" s="77">
        <v>110000</v>
      </c>
      <c r="F174" s="77">
        <v>110000</v>
      </c>
      <c r="G174" s="77"/>
      <c r="H174" s="77"/>
      <c r="I174" s="137">
        <f t="shared" si="6"/>
        <v>1.0185185185185186</v>
      </c>
    </row>
    <row r="175" spans="1:9" s="7" customFormat="1" ht="19.5" customHeight="1">
      <c r="A175" s="68"/>
      <c r="B175" s="72"/>
      <c r="C175" s="82" t="s">
        <v>45</v>
      </c>
      <c r="D175" s="64">
        <f>208000-10000</f>
        <v>198000</v>
      </c>
      <c r="E175" s="64">
        <v>196600</v>
      </c>
      <c r="F175" s="64">
        <v>196600</v>
      </c>
      <c r="G175" s="64"/>
      <c r="H175" s="64"/>
      <c r="I175" s="141">
        <f t="shared" si="6"/>
        <v>0.9929292929292929</v>
      </c>
    </row>
    <row r="176" spans="1:9" s="43" customFormat="1" ht="19.5" customHeight="1">
      <c r="A176" s="54"/>
      <c r="B176" s="74">
        <v>80123</v>
      </c>
      <c r="C176" s="74" t="s">
        <v>186</v>
      </c>
      <c r="D176" s="75">
        <f>SUM(D177:D180)</f>
        <v>6948120</v>
      </c>
      <c r="E176" s="75">
        <f>SUM(E177:E180)</f>
        <v>7877000</v>
      </c>
      <c r="F176" s="75">
        <f>SUM(F177:F180)</f>
        <v>7877000</v>
      </c>
      <c r="G176" s="75"/>
      <c r="H176" s="75"/>
      <c r="I176" s="139">
        <f t="shared" si="6"/>
        <v>1.1336879616356654</v>
      </c>
    </row>
    <row r="177" spans="1:9" s="7" customFormat="1" ht="19.5" customHeight="1">
      <c r="A177" s="68"/>
      <c r="B177" s="68"/>
      <c r="C177" s="70" t="s">
        <v>326</v>
      </c>
      <c r="D177" s="71">
        <f>4501490+318540+250000+126600</f>
        <v>5196630</v>
      </c>
      <c r="E177" s="71">
        <v>5853800</v>
      </c>
      <c r="F177" s="71">
        <v>5853800</v>
      </c>
      <c r="G177" s="71"/>
      <c r="H177" s="71"/>
      <c r="I177" s="136">
        <f t="shared" si="6"/>
        <v>1.1264608024816083</v>
      </c>
    </row>
    <row r="178" spans="1:9" s="7" customFormat="1" ht="19.5" customHeight="1">
      <c r="A178" s="68"/>
      <c r="B178" s="68"/>
      <c r="C178" s="78" t="s">
        <v>44</v>
      </c>
      <c r="D178" s="60">
        <f>503590+9400</f>
        <v>512990</v>
      </c>
      <c r="E178" s="60">
        <v>550000</v>
      </c>
      <c r="F178" s="60">
        <v>550000</v>
      </c>
      <c r="G178" s="60"/>
      <c r="H178" s="60"/>
      <c r="I178" s="134">
        <f t="shared" si="6"/>
        <v>1.072145655860738</v>
      </c>
    </row>
    <row r="179" spans="1:9" s="7" customFormat="1" ht="19.5" customHeight="1">
      <c r="A179" s="68"/>
      <c r="B179" s="68"/>
      <c r="C179" s="78" t="s">
        <v>45</v>
      </c>
      <c r="D179" s="77">
        <f>823200+86800</f>
        <v>910000</v>
      </c>
      <c r="E179" s="77">
        <v>1123200</v>
      </c>
      <c r="F179" s="77">
        <v>1123200</v>
      </c>
      <c r="G179" s="77"/>
      <c r="H179" s="77"/>
      <c r="I179" s="137">
        <f t="shared" si="6"/>
        <v>1.2342857142857142</v>
      </c>
    </row>
    <row r="180" spans="1:9" s="7" customFormat="1" ht="19.5" customHeight="1">
      <c r="A180" s="72"/>
      <c r="B180" s="72"/>
      <c r="C180" s="63" t="s">
        <v>192</v>
      </c>
      <c r="D180" s="64">
        <f>330000-1500</f>
        <v>328500</v>
      </c>
      <c r="E180" s="64">
        <v>350000</v>
      </c>
      <c r="F180" s="64">
        <v>350000</v>
      </c>
      <c r="G180" s="64"/>
      <c r="H180" s="64"/>
      <c r="I180" s="141">
        <f t="shared" si="6"/>
        <v>1.06544901065449</v>
      </c>
    </row>
    <row r="181" spans="1:9" s="43" customFormat="1" ht="19.5" customHeight="1">
      <c r="A181" s="54"/>
      <c r="B181" s="74">
        <v>80124</v>
      </c>
      <c r="C181" s="74" t="s">
        <v>218</v>
      </c>
      <c r="D181" s="75">
        <f>SUM(D182:D184)</f>
        <v>396686</v>
      </c>
      <c r="E181" s="75">
        <f>SUM(E182:E184)</f>
        <v>533000</v>
      </c>
      <c r="F181" s="75">
        <f>SUM(F182:F184)</f>
        <v>533000</v>
      </c>
      <c r="G181" s="75"/>
      <c r="H181" s="75"/>
      <c r="I181" s="139">
        <f t="shared" si="6"/>
        <v>1.3436319910458145</v>
      </c>
    </row>
    <row r="182" spans="1:9" s="7" customFormat="1" ht="19.5" customHeight="1">
      <c r="A182" s="68"/>
      <c r="B182" s="68"/>
      <c r="C182" s="70" t="s">
        <v>326</v>
      </c>
      <c r="D182" s="71">
        <f>233486+40400+25000+9000</f>
        <v>307886</v>
      </c>
      <c r="E182" s="71">
        <v>406800</v>
      </c>
      <c r="F182" s="71">
        <v>406800</v>
      </c>
      <c r="G182" s="71"/>
      <c r="H182" s="71"/>
      <c r="I182" s="136">
        <f t="shared" si="6"/>
        <v>1.3212682616293043</v>
      </c>
    </row>
    <row r="183" spans="1:9" s="7" customFormat="1" ht="19.5" customHeight="1">
      <c r="A183" s="68"/>
      <c r="B183" s="68"/>
      <c r="C183" s="78" t="s">
        <v>44</v>
      </c>
      <c r="D183" s="60">
        <v>44000</v>
      </c>
      <c r="E183" s="60">
        <v>47000</v>
      </c>
      <c r="F183" s="60">
        <v>47000</v>
      </c>
      <c r="G183" s="60"/>
      <c r="H183" s="60"/>
      <c r="I183" s="134">
        <f t="shared" si="6"/>
        <v>1.0681818181818181</v>
      </c>
    </row>
    <row r="184" spans="1:9" s="7" customFormat="1" ht="19.5" customHeight="1">
      <c r="A184" s="68"/>
      <c r="B184" s="72"/>
      <c r="C184" s="82" t="s">
        <v>45</v>
      </c>
      <c r="D184" s="64">
        <f>40000+4800</f>
        <v>44800</v>
      </c>
      <c r="E184" s="64">
        <v>79200</v>
      </c>
      <c r="F184" s="64">
        <v>79200</v>
      </c>
      <c r="G184" s="64"/>
      <c r="H184" s="64"/>
      <c r="I184" s="141">
        <f t="shared" si="6"/>
        <v>1.7678571428571428</v>
      </c>
    </row>
    <row r="185" spans="1:9" s="43" customFormat="1" ht="19.5" customHeight="1">
      <c r="A185" s="54"/>
      <c r="B185" s="74">
        <v>80130</v>
      </c>
      <c r="C185" s="74" t="s">
        <v>154</v>
      </c>
      <c r="D185" s="75">
        <f>SUM(D186:D190)</f>
        <v>53789736</v>
      </c>
      <c r="E185" s="75">
        <f>SUM(E186:E190)</f>
        <v>45677000</v>
      </c>
      <c r="F185" s="75">
        <f>SUM(F186:F190)</f>
        <v>42677000</v>
      </c>
      <c r="G185" s="75">
        <f>SUM(G186:G190)</f>
        <v>500000</v>
      </c>
      <c r="H185" s="75">
        <f>SUM(H186:H190)</f>
        <v>3000000</v>
      </c>
      <c r="I185" s="139">
        <f t="shared" si="6"/>
        <v>0.8491768764211819</v>
      </c>
    </row>
    <row r="186" spans="1:9" s="7" customFormat="1" ht="19.5" customHeight="1">
      <c r="A186" s="68"/>
      <c r="B186" s="68"/>
      <c r="C186" s="70" t="s">
        <v>326</v>
      </c>
      <c r="D186" s="71">
        <f>28039510-968160+150000+266055</f>
        <v>27487405</v>
      </c>
      <c r="E186" s="71">
        <v>26550000</v>
      </c>
      <c r="F186" s="71">
        <v>26550000</v>
      </c>
      <c r="G186" s="71"/>
      <c r="H186" s="71"/>
      <c r="I186" s="136">
        <f t="shared" si="6"/>
        <v>0.9658969262467665</v>
      </c>
    </row>
    <row r="187" spans="1:9" s="7" customFormat="1" ht="19.5" customHeight="1">
      <c r="A187" s="68"/>
      <c r="B187" s="68"/>
      <c r="C187" s="78" t="s">
        <v>44</v>
      </c>
      <c r="D187" s="60">
        <f>5074853+40000-118933</f>
        <v>4995920</v>
      </c>
      <c r="E187" s="60">
        <v>5500000</v>
      </c>
      <c r="F187" s="60">
        <v>5500000</v>
      </c>
      <c r="G187" s="60">
        <v>500000</v>
      </c>
      <c r="H187" s="60"/>
      <c r="I187" s="134">
        <f t="shared" si="6"/>
        <v>1.1008983330397604</v>
      </c>
    </row>
    <row r="188" spans="1:9" s="7" customFormat="1" ht="19.5" customHeight="1">
      <c r="A188" s="68"/>
      <c r="B188" s="68"/>
      <c r="C188" s="78" t="s">
        <v>45</v>
      </c>
      <c r="D188" s="77">
        <f>5454850-189700</f>
        <v>5265150</v>
      </c>
      <c r="E188" s="77">
        <v>5127000</v>
      </c>
      <c r="F188" s="77">
        <v>5127000</v>
      </c>
      <c r="G188" s="77"/>
      <c r="H188" s="77"/>
      <c r="I188" s="137">
        <f t="shared" si="6"/>
        <v>0.9737614312982537</v>
      </c>
    </row>
    <row r="189" spans="1:9" s="7" customFormat="1" ht="20.25" customHeight="1">
      <c r="A189" s="68"/>
      <c r="B189" s="68"/>
      <c r="C189" s="76" t="s">
        <v>178</v>
      </c>
      <c r="D189" s="77">
        <f>3856141+257575+99545</f>
        <v>4213261</v>
      </c>
      <c r="E189" s="77">
        <v>5500000</v>
      </c>
      <c r="F189" s="77">
        <v>5500000</v>
      </c>
      <c r="G189" s="77"/>
      <c r="H189" s="77"/>
      <c r="I189" s="137">
        <f t="shared" si="6"/>
        <v>1.3054021576161552</v>
      </c>
    </row>
    <row r="190" spans="1:9" s="7" customFormat="1" ht="19.5" customHeight="1">
      <c r="A190" s="68"/>
      <c r="B190" s="72"/>
      <c r="C190" s="72" t="s">
        <v>6</v>
      </c>
      <c r="D190" s="73">
        <v>11828000</v>
      </c>
      <c r="E190" s="73">
        <v>3000000</v>
      </c>
      <c r="F190" s="73"/>
      <c r="G190" s="73"/>
      <c r="H190" s="73">
        <v>3000000</v>
      </c>
      <c r="I190" s="138">
        <f t="shared" si="6"/>
        <v>0.2536354413256679</v>
      </c>
    </row>
    <row r="191" spans="1:9" s="43" customFormat="1" ht="19.5" customHeight="1">
      <c r="A191" s="54"/>
      <c r="B191" s="74">
        <v>80132</v>
      </c>
      <c r="C191" s="74" t="s">
        <v>119</v>
      </c>
      <c r="D191" s="75">
        <f>SUM(D192:D194)</f>
        <v>3162616</v>
      </c>
      <c r="E191" s="75">
        <f>SUM(E192:E194)</f>
        <v>3341000</v>
      </c>
      <c r="F191" s="75">
        <f>SUM(F192:F194)</f>
        <v>3341000</v>
      </c>
      <c r="G191" s="75"/>
      <c r="H191" s="75"/>
      <c r="I191" s="139">
        <f t="shared" si="6"/>
        <v>1.0564039390175728</v>
      </c>
    </row>
    <row r="192" spans="1:9" s="7" customFormat="1" ht="19.5" customHeight="1">
      <c r="A192" s="68"/>
      <c r="B192" s="68"/>
      <c r="C192" s="70" t="s">
        <v>326</v>
      </c>
      <c r="D192" s="71">
        <v>2487159</v>
      </c>
      <c r="E192" s="71">
        <v>2612200</v>
      </c>
      <c r="F192" s="71">
        <v>2612200</v>
      </c>
      <c r="G192" s="71"/>
      <c r="H192" s="71"/>
      <c r="I192" s="136">
        <f t="shared" si="6"/>
        <v>1.050274630612679</v>
      </c>
    </row>
    <row r="193" spans="1:9" s="7" customFormat="1" ht="19.5" customHeight="1">
      <c r="A193" s="68"/>
      <c r="B193" s="68"/>
      <c r="C193" s="78" t="s">
        <v>44</v>
      </c>
      <c r="D193" s="77">
        <v>205517</v>
      </c>
      <c r="E193" s="77">
        <v>220000</v>
      </c>
      <c r="F193" s="77">
        <v>220000</v>
      </c>
      <c r="G193" s="77"/>
      <c r="H193" s="77"/>
      <c r="I193" s="134">
        <f t="shared" si="6"/>
        <v>1.0704710559223811</v>
      </c>
    </row>
    <row r="194" spans="1:9" s="7" customFormat="1" ht="19.5" customHeight="1">
      <c r="A194" s="68"/>
      <c r="B194" s="72"/>
      <c r="C194" s="82" t="s">
        <v>45</v>
      </c>
      <c r="D194" s="64">
        <v>469940</v>
      </c>
      <c r="E194" s="64">
        <v>508800</v>
      </c>
      <c r="F194" s="64">
        <v>508800</v>
      </c>
      <c r="G194" s="64"/>
      <c r="H194" s="64"/>
      <c r="I194" s="141">
        <f t="shared" si="6"/>
        <v>1.0826914074137124</v>
      </c>
    </row>
    <row r="195" spans="1:9" s="43" customFormat="1" ht="19.5" customHeight="1">
      <c r="A195" s="54"/>
      <c r="B195" s="74">
        <v>80134</v>
      </c>
      <c r="C195" s="74" t="s">
        <v>49</v>
      </c>
      <c r="D195" s="75">
        <f>SUM(D196:D198)</f>
        <v>4120400</v>
      </c>
      <c r="E195" s="75">
        <f>SUM(E196:E198)</f>
        <v>4418000</v>
      </c>
      <c r="F195" s="75">
        <f>SUM(F196:F198)</f>
        <v>4418000</v>
      </c>
      <c r="G195" s="75"/>
      <c r="H195" s="75"/>
      <c r="I195" s="139">
        <f t="shared" si="6"/>
        <v>1.0722259974759731</v>
      </c>
    </row>
    <row r="196" spans="1:9" s="7" customFormat="1" ht="19.5" customHeight="1">
      <c r="A196" s="68"/>
      <c r="B196" s="68"/>
      <c r="C196" s="70" t="s">
        <v>326</v>
      </c>
      <c r="D196" s="71">
        <f>3048000-62000+140000+16200</f>
        <v>3142200</v>
      </c>
      <c r="E196" s="71">
        <v>3344200</v>
      </c>
      <c r="F196" s="71">
        <v>3344200</v>
      </c>
      <c r="G196" s="71"/>
      <c r="H196" s="71"/>
      <c r="I196" s="136">
        <f t="shared" si="6"/>
        <v>1.06428616892623</v>
      </c>
    </row>
    <row r="197" spans="1:9" s="7" customFormat="1" ht="19.5" customHeight="1">
      <c r="A197" s="68"/>
      <c r="B197" s="68"/>
      <c r="C197" s="78" t="s">
        <v>44</v>
      </c>
      <c r="D197" s="77">
        <f>410000-8300</f>
        <v>401700</v>
      </c>
      <c r="E197" s="77">
        <v>430000</v>
      </c>
      <c r="F197" s="77">
        <v>430000</v>
      </c>
      <c r="G197" s="77"/>
      <c r="H197" s="77"/>
      <c r="I197" s="137">
        <f t="shared" si="6"/>
        <v>1.0704505850136918</v>
      </c>
    </row>
    <row r="198" spans="1:9" s="7" customFormat="1" ht="19.5" customHeight="1">
      <c r="A198" s="68"/>
      <c r="B198" s="72"/>
      <c r="C198" s="82" t="s">
        <v>45</v>
      </c>
      <c r="D198" s="64">
        <f>596500-20000</f>
        <v>576500</v>
      </c>
      <c r="E198" s="64">
        <v>643800</v>
      </c>
      <c r="F198" s="64">
        <v>643800</v>
      </c>
      <c r="G198" s="64"/>
      <c r="H198" s="64"/>
      <c r="I198" s="141">
        <f t="shared" si="6"/>
        <v>1.1167389418907199</v>
      </c>
    </row>
    <row r="199" spans="1:9" s="43" customFormat="1" ht="30.75" customHeight="1">
      <c r="A199" s="54"/>
      <c r="B199" s="83">
        <v>80140</v>
      </c>
      <c r="C199" s="84" t="s">
        <v>120</v>
      </c>
      <c r="D199" s="75">
        <f>SUM(D200:D203)</f>
        <v>8468935</v>
      </c>
      <c r="E199" s="75">
        <f>SUM(E200:E203)</f>
        <v>8762000</v>
      </c>
      <c r="F199" s="75">
        <f>SUM(F200:F203)</f>
        <v>8762000</v>
      </c>
      <c r="G199" s="75"/>
      <c r="H199" s="75"/>
      <c r="I199" s="139">
        <f t="shared" si="6"/>
        <v>1.0346047053141865</v>
      </c>
    </row>
    <row r="200" spans="1:9" s="7" customFormat="1" ht="19.5" customHeight="1">
      <c r="A200" s="68"/>
      <c r="B200" s="69"/>
      <c r="C200" s="70" t="s">
        <v>326</v>
      </c>
      <c r="D200" s="71">
        <f>6046000+80000+177000+14300</f>
        <v>6317300</v>
      </c>
      <c r="E200" s="71">
        <v>6522600</v>
      </c>
      <c r="F200" s="71">
        <v>6522600</v>
      </c>
      <c r="G200" s="71"/>
      <c r="H200" s="71"/>
      <c r="I200" s="136">
        <f t="shared" si="6"/>
        <v>1.0324980608804395</v>
      </c>
    </row>
    <row r="201" spans="1:9" s="7" customFormat="1" ht="19.5" customHeight="1">
      <c r="A201" s="68"/>
      <c r="B201" s="68"/>
      <c r="C201" s="78" t="s">
        <v>44</v>
      </c>
      <c r="D201" s="77">
        <f>968200-18000</f>
        <v>950200</v>
      </c>
      <c r="E201" s="77">
        <v>965000</v>
      </c>
      <c r="F201" s="77">
        <v>965000</v>
      </c>
      <c r="G201" s="77"/>
      <c r="H201" s="77"/>
      <c r="I201" s="137">
        <f t="shared" si="6"/>
        <v>1.015575668280362</v>
      </c>
    </row>
    <row r="202" spans="1:9" s="7" customFormat="1" ht="19.5" customHeight="1">
      <c r="A202" s="68"/>
      <c r="B202" s="68"/>
      <c r="C202" s="78" t="s">
        <v>45</v>
      </c>
      <c r="D202" s="77">
        <f>1185000+12500</f>
        <v>1197500</v>
      </c>
      <c r="E202" s="77">
        <v>1274400</v>
      </c>
      <c r="F202" s="77">
        <v>1274400</v>
      </c>
      <c r="G202" s="77"/>
      <c r="H202" s="77"/>
      <c r="I202" s="137">
        <f t="shared" si="6"/>
        <v>1.0642171189979124</v>
      </c>
    </row>
    <row r="203" spans="1:9" s="7" customFormat="1" ht="19.5" customHeight="1">
      <c r="A203" s="68"/>
      <c r="B203" s="72"/>
      <c r="C203" s="82" t="s">
        <v>269</v>
      </c>
      <c r="D203" s="64">
        <v>3935</v>
      </c>
      <c r="E203" s="64"/>
      <c r="F203" s="64"/>
      <c r="G203" s="64"/>
      <c r="H203" s="64"/>
      <c r="I203" s="141"/>
    </row>
    <row r="204" spans="1:9" s="7" customFormat="1" ht="19.5" customHeight="1">
      <c r="A204" s="68"/>
      <c r="B204" s="74">
        <v>80145</v>
      </c>
      <c r="C204" s="74" t="s">
        <v>121</v>
      </c>
      <c r="D204" s="75">
        <f>D205</f>
        <v>40000</v>
      </c>
      <c r="E204" s="75">
        <f>E205</f>
        <v>36000</v>
      </c>
      <c r="F204" s="75">
        <f>F205</f>
        <v>36000</v>
      </c>
      <c r="G204" s="75"/>
      <c r="H204" s="75"/>
      <c r="I204" s="139">
        <f t="shared" si="6"/>
        <v>0.9</v>
      </c>
    </row>
    <row r="205" spans="1:9" s="7" customFormat="1" ht="19.5" customHeight="1">
      <c r="A205" s="68"/>
      <c r="B205" s="72"/>
      <c r="C205" s="85" t="s">
        <v>330</v>
      </c>
      <c r="D205" s="73">
        <v>40000</v>
      </c>
      <c r="E205" s="73">
        <v>36000</v>
      </c>
      <c r="F205" s="73">
        <v>36000</v>
      </c>
      <c r="G205" s="73"/>
      <c r="H205" s="73"/>
      <c r="I205" s="138">
        <f t="shared" si="6"/>
        <v>0.9</v>
      </c>
    </row>
    <row r="206" spans="1:9" s="7" customFormat="1" ht="19.5" customHeight="1">
      <c r="A206" s="68"/>
      <c r="B206" s="74">
        <v>80146</v>
      </c>
      <c r="C206" s="74" t="s">
        <v>187</v>
      </c>
      <c r="D206" s="75">
        <f>D207</f>
        <v>1457673</v>
      </c>
      <c r="E206" s="75">
        <f>E207</f>
        <v>1500000</v>
      </c>
      <c r="F206" s="75">
        <f>F207</f>
        <v>1500000</v>
      </c>
      <c r="G206" s="75"/>
      <c r="H206" s="75"/>
      <c r="I206" s="139">
        <f t="shared" si="6"/>
        <v>1.0290373766955963</v>
      </c>
    </row>
    <row r="207" spans="1:9" s="7" customFormat="1" ht="19.5" customHeight="1">
      <c r="A207" s="68"/>
      <c r="B207" s="69"/>
      <c r="C207" s="196" t="s">
        <v>188</v>
      </c>
      <c r="D207" s="197">
        <f>1462000-4327</f>
        <v>1457673</v>
      </c>
      <c r="E207" s="197">
        <v>1500000</v>
      </c>
      <c r="F207" s="197">
        <v>1500000</v>
      </c>
      <c r="G207" s="197"/>
      <c r="H207" s="197"/>
      <c r="I207" s="198">
        <f t="shared" si="6"/>
        <v>1.0290373766955963</v>
      </c>
    </row>
    <row r="208" spans="1:9" s="7" customFormat="1" ht="19.5" customHeight="1">
      <c r="A208" s="68"/>
      <c r="B208" s="68"/>
      <c r="C208" s="81" t="s">
        <v>332</v>
      </c>
      <c r="D208" s="80">
        <v>618340</v>
      </c>
      <c r="E208" s="80">
        <v>300000</v>
      </c>
      <c r="F208" s="80">
        <v>300000</v>
      </c>
      <c r="G208" s="80"/>
      <c r="H208" s="80"/>
      <c r="I208" s="140">
        <f>E208/D208</f>
        <v>0.4851699712132484</v>
      </c>
    </row>
    <row r="209" spans="1:9" s="7" customFormat="1" ht="33.75" customHeight="1">
      <c r="A209" s="184"/>
      <c r="B209" s="184"/>
      <c r="C209" s="192"/>
      <c r="D209" s="185"/>
      <c r="E209" s="185"/>
      <c r="F209" s="185"/>
      <c r="G209" s="185"/>
      <c r="H209" s="185"/>
      <c r="I209" s="186"/>
    </row>
    <row r="210" spans="1:9" s="43" customFormat="1" ht="19.5" customHeight="1">
      <c r="A210" s="54"/>
      <c r="B210" s="74">
        <v>80195</v>
      </c>
      <c r="C210" s="74" t="s">
        <v>4</v>
      </c>
      <c r="D210" s="75">
        <f>SUM(D211:D214)</f>
        <v>2139414</v>
      </c>
      <c r="E210" s="75">
        <f>SUM(E211:E214)</f>
        <v>2326000</v>
      </c>
      <c r="F210" s="75">
        <f>SUM(F211:F214)</f>
        <v>2326000</v>
      </c>
      <c r="G210" s="75"/>
      <c r="H210" s="75"/>
      <c r="I210" s="139">
        <f t="shared" si="6"/>
        <v>1.0872136014815272</v>
      </c>
    </row>
    <row r="211" spans="1:9" s="7" customFormat="1" ht="18.75" customHeight="1">
      <c r="A211" s="68"/>
      <c r="B211" s="68"/>
      <c r="C211" s="89" t="s">
        <v>123</v>
      </c>
      <c r="D211" s="71">
        <v>10166</v>
      </c>
      <c r="E211" s="71">
        <v>11000</v>
      </c>
      <c r="F211" s="71">
        <v>11000</v>
      </c>
      <c r="G211" s="71"/>
      <c r="H211" s="71"/>
      <c r="I211" s="136">
        <f t="shared" si="6"/>
        <v>1.0820381664371435</v>
      </c>
    </row>
    <row r="212" spans="1:9" s="7" customFormat="1" ht="18.75" customHeight="1">
      <c r="A212" s="68"/>
      <c r="B212" s="68"/>
      <c r="C212" s="76" t="s">
        <v>289</v>
      </c>
      <c r="D212" s="77">
        <v>6834</v>
      </c>
      <c r="E212" s="77">
        <v>15000</v>
      </c>
      <c r="F212" s="77">
        <v>15000</v>
      </c>
      <c r="G212" s="77"/>
      <c r="H212" s="77"/>
      <c r="I212" s="137">
        <f t="shared" si="6"/>
        <v>2.194907813871817</v>
      </c>
    </row>
    <row r="213" spans="1:9" s="7" customFormat="1" ht="27.75" customHeight="1">
      <c r="A213" s="68"/>
      <c r="B213" s="68"/>
      <c r="C213" s="76" t="s">
        <v>248</v>
      </c>
      <c r="D213" s="77">
        <v>2114164</v>
      </c>
      <c r="E213" s="77">
        <v>2300000</v>
      </c>
      <c r="F213" s="77">
        <v>2300000</v>
      </c>
      <c r="G213" s="77"/>
      <c r="H213" s="77"/>
      <c r="I213" s="137">
        <f t="shared" si="6"/>
        <v>1.0879004656213993</v>
      </c>
    </row>
    <row r="214" spans="1:9" s="7" customFormat="1" ht="18.75" customHeight="1">
      <c r="A214" s="68"/>
      <c r="B214" s="72"/>
      <c r="C214" s="72" t="s">
        <v>174</v>
      </c>
      <c r="D214" s="73">
        <v>8250</v>
      </c>
      <c r="E214" s="73"/>
      <c r="F214" s="73"/>
      <c r="G214" s="73"/>
      <c r="H214" s="73"/>
      <c r="I214" s="138"/>
    </row>
    <row r="215" spans="1:9" s="43" customFormat="1" ht="19.5" customHeight="1">
      <c r="A215" s="54"/>
      <c r="B215" s="74">
        <v>80197</v>
      </c>
      <c r="C215" s="74" t="s">
        <v>67</v>
      </c>
      <c r="D215" s="75">
        <f>D216</f>
        <v>107200</v>
      </c>
      <c r="E215" s="75">
        <f>E216</f>
        <v>109600</v>
      </c>
      <c r="F215" s="75">
        <f>F216</f>
        <v>109600</v>
      </c>
      <c r="G215" s="75"/>
      <c r="H215" s="75"/>
      <c r="I215" s="139">
        <f t="shared" si="6"/>
        <v>1.0223880597014925</v>
      </c>
    </row>
    <row r="216" spans="1:9" s="7" customFormat="1" ht="28.5" customHeight="1">
      <c r="A216" s="72"/>
      <c r="B216" s="86"/>
      <c r="C216" s="87" t="s">
        <v>122</v>
      </c>
      <c r="D216" s="88">
        <v>107200</v>
      </c>
      <c r="E216" s="88">
        <v>109600</v>
      </c>
      <c r="F216" s="88">
        <v>109600</v>
      </c>
      <c r="G216" s="88"/>
      <c r="H216" s="88"/>
      <c r="I216" s="131">
        <f t="shared" si="6"/>
        <v>1.0223880597014925</v>
      </c>
    </row>
    <row r="217" spans="1:9" s="7" customFormat="1" ht="19.5" customHeight="1">
      <c r="A217" s="51">
        <v>851</v>
      </c>
      <c r="B217" s="51"/>
      <c r="C217" s="51" t="s">
        <v>51</v>
      </c>
      <c r="D217" s="52">
        <f>D218+D222+D224+D226+D228</f>
        <v>23610000</v>
      </c>
      <c r="E217" s="52">
        <f>E218+E222+E224+E226+E228</f>
        <v>16120000</v>
      </c>
      <c r="F217" s="52">
        <f>F218+F222+F224+F226+F228</f>
        <v>14805000</v>
      </c>
      <c r="G217" s="52"/>
      <c r="H217" s="52">
        <f>H218+H222+H224+H226+H228</f>
        <v>1315000</v>
      </c>
      <c r="I217" s="129">
        <f t="shared" si="6"/>
        <v>0.6827615417196103</v>
      </c>
    </row>
    <row r="218" spans="1:9" s="43" customFormat="1" ht="19.5" customHeight="1">
      <c r="A218" s="54"/>
      <c r="B218" s="55">
        <v>85121</v>
      </c>
      <c r="C218" s="55" t="s">
        <v>50</v>
      </c>
      <c r="D218" s="56">
        <f>SUM(D219:D221)</f>
        <v>17890000</v>
      </c>
      <c r="E218" s="56">
        <f>SUM(E219:E221)</f>
        <v>10500000</v>
      </c>
      <c r="F218" s="56">
        <f>SUM(F219:F221)</f>
        <v>10250000</v>
      </c>
      <c r="G218" s="56"/>
      <c r="H218" s="56">
        <f>SUM(H219:H221)</f>
        <v>250000</v>
      </c>
      <c r="I218" s="130">
        <f t="shared" si="6"/>
        <v>0.5869200670765791</v>
      </c>
    </row>
    <row r="219" spans="1:9" s="7" customFormat="1" ht="18.75" customHeight="1">
      <c r="A219" s="68"/>
      <c r="B219" s="68"/>
      <c r="C219" s="70" t="s">
        <v>189</v>
      </c>
      <c r="D219" s="71">
        <v>2800000</v>
      </c>
      <c r="E219" s="71">
        <v>500000</v>
      </c>
      <c r="F219" s="71">
        <v>500000</v>
      </c>
      <c r="G219" s="71"/>
      <c r="H219" s="71"/>
      <c r="I219" s="136">
        <f>E219/D219</f>
        <v>0.17857142857142858</v>
      </c>
    </row>
    <row r="220" spans="1:9" s="7" customFormat="1" ht="27.75" customHeight="1">
      <c r="A220" s="68"/>
      <c r="B220" s="68"/>
      <c r="C220" s="76" t="s">
        <v>305</v>
      </c>
      <c r="D220" s="77">
        <v>14850000</v>
      </c>
      <c r="E220" s="77">
        <v>9750000</v>
      </c>
      <c r="F220" s="77">
        <v>9750000</v>
      </c>
      <c r="G220" s="77"/>
      <c r="H220" s="77"/>
      <c r="I220" s="137">
        <f>E220/D220</f>
        <v>0.6565656565656566</v>
      </c>
    </row>
    <row r="221" spans="1:9" s="7" customFormat="1" ht="18.75" customHeight="1">
      <c r="A221" s="68"/>
      <c r="B221" s="72"/>
      <c r="C221" s="72" t="s">
        <v>6</v>
      </c>
      <c r="D221" s="73">
        <v>240000</v>
      </c>
      <c r="E221" s="73">
        <v>250000</v>
      </c>
      <c r="F221" s="73"/>
      <c r="G221" s="73"/>
      <c r="H221" s="73">
        <v>250000</v>
      </c>
      <c r="I221" s="138">
        <f>E221/D221</f>
        <v>1.0416666666666667</v>
      </c>
    </row>
    <row r="222" spans="1:9" s="43" customFormat="1" ht="19.5" customHeight="1">
      <c r="A222" s="54"/>
      <c r="B222" s="74">
        <v>85149</v>
      </c>
      <c r="C222" s="74" t="s">
        <v>52</v>
      </c>
      <c r="D222" s="75">
        <f>D223</f>
        <v>200000</v>
      </c>
      <c r="E222" s="75">
        <f>E223</f>
        <v>100000</v>
      </c>
      <c r="F222" s="75">
        <f>F223</f>
        <v>100000</v>
      </c>
      <c r="G222" s="75"/>
      <c r="H222" s="75"/>
      <c r="I222" s="139">
        <f t="shared" si="6"/>
        <v>0.5</v>
      </c>
    </row>
    <row r="223" spans="1:9" s="7" customFormat="1" ht="18.75" customHeight="1">
      <c r="A223" s="68"/>
      <c r="B223" s="86"/>
      <c r="C223" s="86" t="s">
        <v>124</v>
      </c>
      <c r="D223" s="88">
        <v>200000</v>
      </c>
      <c r="E223" s="88">
        <v>100000</v>
      </c>
      <c r="F223" s="88">
        <v>100000</v>
      </c>
      <c r="G223" s="88"/>
      <c r="H223" s="88"/>
      <c r="I223" s="131">
        <f t="shared" si="6"/>
        <v>0.5</v>
      </c>
    </row>
    <row r="224" spans="1:9" s="43" customFormat="1" ht="19.5" customHeight="1">
      <c r="A224" s="54"/>
      <c r="B224" s="55">
        <v>85153</v>
      </c>
      <c r="C224" s="55" t="s">
        <v>140</v>
      </c>
      <c r="D224" s="56">
        <f>D225</f>
        <v>110000</v>
      </c>
      <c r="E224" s="56">
        <f>E225</f>
        <v>110000</v>
      </c>
      <c r="F224" s="56">
        <f>F225</f>
        <v>110000</v>
      </c>
      <c r="G224" s="56"/>
      <c r="H224" s="56"/>
      <c r="I224" s="130">
        <f t="shared" si="6"/>
        <v>1</v>
      </c>
    </row>
    <row r="225" spans="1:9" s="7" customFormat="1" ht="26.25" customHeight="1">
      <c r="A225" s="68"/>
      <c r="B225" s="86"/>
      <c r="C225" s="87" t="s">
        <v>125</v>
      </c>
      <c r="D225" s="88">
        <v>110000</v>
      </c>
      <c r="E225" s="88">
        <v>110000</v>
      </c>
      <c r="F225" s="88">
        <v>110000</v>
      </c>
      <c r="G225" s="88"/>
      <c r="H225" s="88"/>
      <c r="I225" s="131">
        <f aca="true" t="shared" si="7" ref="I225:I299">E225/D225</f>
        <v>1</v>
      </c>
    </row>
    <row r="226" spans="1:9" s="43" customFormat="1" ht="19.5" customHeight="1">
      <c r="A226" s="54"/>
      <c r="B226" s="74">
        <v>85154</v>
      </c>
      <c r="C226" s="74" t="s">
        <v>53</v>
      </c>
      <c r="D226" s="75">
        <f>D227</f>
        <v>5000000</v>
      </c>
      <c r="E226" s="75">
        <f>E227</f>
        <v>5000000</v>
      </c>
      <c r="F226" s="75">
        <f>F227</f>
        <v>3935000</v>
      </c>
      <c r="G226" s="75"/>
      <c r="H226" s="75">
        <f>H227</f>
        <v>1065000</v>
      </c>
      <c r="I226" s="139">
        <f t="shared" si="7"/>
        <v>1</v>
      </c>
    </row>
    <row r="227" spans="1:9" s="7" customFormat="1" ht="26.25" customHeight="1">
      <c r="A227" s="68"/>
      <c r="B227" s="86"/>
      <c r="C227" s="87" t="s">
        <v>321</v>
      </c>
      <c r="D227" s="88">
        <v>5000000</v>
      </c>
      <c r="E227" s="88">
        <v>5000000</v>
      </c>
      <c r="F227" s="88">
        <f>3900000-65000+100000</f>
        <v>3935000</v>
      </c>
      <c r="G227" s="88"/>
      <c r="H227" s="88">
        <f>1100000+65000-100000</f>
        <v>1065000</v>
      </c>
      <c r="I227" s="131">
        <f t="shared" si="7"/>
        <v>1</v>
      </c>
    </row>
    <row r="228" spans="1:9" s="43" customFormat="1" ht="19.5" customHeight="1">
      <c r="A228" s="54"/>
      <c r="B228" s="74">
        <v>85195</v>
      </c>
      <c r="C228" s="74" t="s">
        <v>4</v>
      </c>
      <c r="D228" s="75">
        <f>SUM(D229:D230)</f>
        <v>410000</v>
      </c>
      <c r="E228" s="75">
        <f>SUM(E229:E230)</f>
        <v>410000</v>
      </c>
      <c r="F228" s="75">
        <f>SUM(F229:F230)</f>
        <v>410000</v>
      </c>
      <c r="G228" s="75"/>
      <c r="H228" s="75"/>
      <c r="I228" s="139">
        <f t="shared" si="7"/>
        <v>1</v>
      </c>
    </row>
    <row r="229" spans="1:9" s="7" customFormat="1" ht="27.75" customHeight="1">
      <c r="A229" s="68"/>
      <c r="B229" s="68"/>
      <c r="C229" s="76" t="s">
        <v>322</v>
      </c>
      <c r="D229" s="77">
        <v>400000</v>
      </c>
      <c r="E229" s="77">
        <v>400000</v>
      </c>
      <c r="F229" s="77">
        <v>400000</v>
      </c>
      <c r="G229" s="77"/>
      <c r="H229" s="77"/>
      <c r="I229" s="137">
        <f>E229/D229</f>
        <v>1</v>
      </c>
    </row>
    <row r="230" spans="1:9" s="7" customFormat="1" ht="19.5" customHeight="1">
      <c r="A230" s="72"/>
      <c r="B230" s="72"/>
      <c r="C230" s="72" t="s">
        <v>126</v>
      </c>
      <c r="D230" s="73">
        <v>10000</v>
      </c>
      <c r="E230" s="73">
        <v>10000</v>
      </c>
      <c r="F230" s="73">
        <v>10000</v>
      </c>
      <c r="G230" s="73"/>
      <c r="H230" s="73"/>
      <c r="I230" s="138">
        <f>E230/D230</f>
        <v>1</v>
      </c>
    </row>
    <row r="231" spans="1:9" s="7" customFormat="1" ht="19.5" customHeight="1">
      <c r="A231" s="51">
        <v>852</v>
      </c>
      <c r="B231" s="51"/>
      <c r="C231" s="51" t="s">
        <v>209</v>
      </c>
      <c r="D231" s="52">
        <f>D232+D239+D246+D252+D255+D257+D259+D264+D268+D272+D276+D274</f>
        <v>79796759</v>
      </c>
      <c r="E231" s="52">
        <f>E232+E239+E246+E252+E255+E257+E259+E264+E268+E272+E276+E274</f>
        <v>82930500</v>
      </c>
      <c r="F231" s="52">
        <f>F232+F239+F246+F252+F255+F257+F259+F264+F268+F272+F276+F274</f>
        <v>81670500</v>
      </c>
      <c r="G231" s="52">
        <f>G232+G239+G246+G252+G255+G257+G259+G264+G268+G272+G276+G274</f>
        <v>579000</v>
      </c>
      <c r="H231" s="52">
        <f>H232+H239+H246+H252+H255+H257+H259+H264+H268+H272+H276+H274</f>
        <v>1260000</v>
      </c>
      <c r="I231" s="129">
        <f t="shared" si="7"/>
        <v>1.03927153231875</v>
      </c>
    </row>
    <row r="232" spans="1:9" s="7" customFormat="1" ht="19.5" customHeight="1">
      <c r="A232" s="68"/>
      <c r="B232" s="55">
        <v>85201</v>
      </c>
      <c r="C232" s="55" t="s">
        <v>54</v>
      </c>
      <c r="D232" s="56">
        <f>SUM(D233:D238)</f>
        <v>9324855</v>
      </c>
      <c r="E232" s="56">
        <f>SUM(E233:E238)</f>
        <v>9791900</v>
      </c>
      <c r="F232" s="56">
        <f>SUM(F233:F238)</f>
        <v>9141900</v>
      </c>
      <c r="G232" s="56">
        <f>SUM(G233:G238)</f>
        <v>276000</v>
      </c>
      <c r="H232" s="56">
        <f>SUM(H233:H238)</f>
        <v>650000</v>
      </c>
      <c r="I232" s="130">
        <f t="shared" si="7"/>
        <v>1.0500860335093682</v>
      </c>
    </row>
    <row r="233" spans="1:9" s="7" customFormat="1" ht="18.75" customHeight="1">
      <c r="A233" s="68"/>
      <c r="B233" s="54"/>
      <c r="C233" s="70" t="s">
        <v>326</v>
      </c>
      <c r="D233" s="71">
        <f>4474058+4400+6200</f>
        <v>4484658</v>
      </c>
      <c r="E233" s="71">
        <f>4613700+4400-1120000+6200</f>
        <v>3504300</v>
      </c>
      <c r="F233" s="71">
        <f>4613700+4400-1120000+6200</f>
        <v>3504300</v>
      </c>
      <c r="G233" s="71"/>
      <c r="H233" s="71"/>
      <c r="I233" s="136">
        <f t="shared" si="7"/>
        <v>0.7813973774588832</v>
      </c>
    </row>
    <row r="234" spans="1:9" s="7" customFormat="1" ht="18.75" customHeight="1">
      <c r="A234" s="68"/>
      <c r="B234" s="54"/>
      <c r="C234" s="78" t="s">
        <v>44</v>
      </c>
      <c r="D234" s="77">
        <f>2196197-4400-6200</f>
        <v>2185597</v>
      </c>
      <c r="E234" s="77">
        <f>2418300-4400-560000-6200</f>
        <v>1847700</v>
      </c>
      <c r="F234" s="77">
        <f>2418300-4400-560000-6200</f>
        <v>1847700</v>
      </c>
      <c r="G234" s="77">
        <v>276000</v>
      </c>
      <c r="H234" s="77"/>
      <c r="I234" s="137">
        <f t="shared" si="7"/>
        <v>0.8453983053600458</v>
      </c>
    </row>
    <row r="235" spans="1:9" s="7" customFormat="1" ht="18.75" customHeight="1">
      <c r="A235" s="68"/>
      <c r="B235" s="68"/>
      <c r="C235" s="78" t="s">
        <v>45</v>
      </c>
      <c r="D235" s="77">
        <v>868600</v>
      </c>
      <c r="E235" s="77">
        <f>909900-220000</f>
        <v>689900</v>
      </c>
      <c r="F235" s="77">
        <f>909900-220000</f>
        <v>689900</v>
      </c>
      <c r="G235" s="77"/>
      <c r="H235" s="77"/>
      <c r="I235" s="137">
        <f t="shared" si="7"/>
        <v>0.7942666359659222</v>
      </c>
    </row>
    <row r="236" spans="1:9" s="7" customFormat="1" ht="18.75" customHeight="1">
      <c r="A236" s="68"/>
      <c r="B236" s="68"/>
      <c r="C236" s="76" t="s">
        <v>145</v>
      </c>
      <c r="D236" s="77">
        <v>1500000</v>
      </c>
      <c r="E236" s="77">
        <f>1500000-400000</f>
        <v>1100000</v>
      </c>
      <c r="F236" s="77">
        <f>1500000-400000</f>
        <v>1100000</v>
      </c>
      <c r="G236" s="77"/>
      <c r="H236" s="77"/>
      <c r="I236" s="137">
        <f t="shared" si="7"/>
        <v>0.7333333333333333</v>
      </c>
    </row>
    <row r="237" spans="1:9" s="7" customFormat="1" ht="27.75" customHeight="1">
      <c r="A237" s="68"/>
      <c r="B237" s="68"/>
      <c r="C237" s="157" t="s">
        <v>306</v>
      </c>
      <c r="D237" s="178"/>
      <c r="E237" s="178">
        <v>2000000</v>
      </c>
      <c r="F237" s="178">
        <v>2000000</v>
      </c>
      <c r="G237" s="178"/>
      <c r="H237" s="178"/>
      <c r="I237" s="158"/>
    </row>
    <row r="238" spans="1:9" s="7" customFormat="1" ht="18.75" customHeight="1">
      <c r="A238" s="72"/>
      <c r="B238" s="72"/>
      <c r="C238" s="82" t="s">
        <v>6</v>
      </c>
      <c r="D238" s="64">
        <v>286000</v>
      </c>
      <c r="E238" s="64">
        <v>650000</v>
      </c>
      <c r="F238" s="64"/>
      <c r="G238" s="64"/>
      <c r="H238" s="64">
        <v>650000</v>
      </c>
      <c r="I238" s="141">
        <f>E238/D238</f>
        <v>2.272727272727273</v>
      </c>
    </row>
    <row r="239" spans="1:9" s="7" customFormat="1" ht="19.5" customHeight="1">
      <c r="A239" s="68"/>
      <c r="B239" s="74">
        <v>85202</v>
      </c>
      <c r="C239" s="74" t="s">
        <v>55</v>
      </c>
      <c r="D239" s="75">
        <f>SUM(D240:D245)</f>
        <v>13475069</v>
      </c>
      <c r="E239" s="75">
        <f>SUM(E240:E245)</f>
        <v>13619000</v>
      </c>
      <c r="F239" s="75">
        <f>SUM(F240:F245)</f>
        <v>13119000</v>
      </c>
      <c r="G239" s="75">
        <f>SUM(G240:G245)</f>
        <v>208000</v>
      </c>
      <c r="H239" s="75">
        <f>SUM(H240:H245)</f>
        <v>500000</v>
      </c>
      <c r="I239" s="139">
        <f t="shared" si="7"/>
        <v>1.0106812811125494</v>
      </c>
    </row>
    <row r="240" spans="1:9" s="7" customFormat="1" ht="19.5" customHeight="1">
      <c r="A240" s="68"/>
      <c r="B240" s="68"/>
      <c r="C240" s="70" t="s">
        <v>326</v>
      </c>
      <c r="D240" s="71">
        <f>7222343+25000+35000</f>
        <v>7282343</v>
      </c>
      <c r="E240" s="71">
        <f>7330000+25000+35000</f>
        <v>7390000</v>
      </c>
      <c r="F240" s="71">
        <f>7330000+25000+35000</f>
        <v>7390000</v>
      </c>
      <c r="G240" s="71"/>
      <c r="H240" s="71"/>
      <c r="I240" s="136">
        <f t="shared" si="7"/>
        <v>1.014783291586238</v>
      </c>
    </row>
    <row r="241" spans="1:9" s="7" customFormat="1" ht="19.5" customHeight="1">
      <c r="A241" s="68"/>
      <c r="B241" s="54"/>
      <c r="C241" s="78" t="s">
        <v>44</v>
      </c>
      <c r="D241" s="77">
        <f>3592863-25000-35000</f>
        <v>3532863</v>
      </c>
      <c r="E241" s="77">
        <f>3790000-25000-35000</f>
        <v>3730000</v>
      </c>
      <c r="F241" s="77">
        <f>3790000-25000-35000</f>
        <v>3730000</v>
      </c>
      <c r="G241" s="77">
        <v>208000</v>
      </c>
      <c r="H241" s="77"/>
      <c r="I241" s="137">
        <f t="shared" si="7"/>
        <v>1.0558009184052708</v>
      </c>
    </row>
    <row r="242" spans="1:9" s="7" customFormat="1" ht="19.5" customHeight="1">
      <c r="A242" s="68"/>
      <c r="B242" s="68"/>
      <c r="C242" s="78" t="s">
        <v>45</v>
      </c>
      <c r="D242" s="77">
        <v>1403600</v>
      </c>
      <c r="E242" s="77">
        <v>1422000</v>
      </c>
      <c r="F242" s="77">
        <v>1422000</v>
      </c>
      <c r="G242" s="77"/>
      <c r="H242" s="77"/>
      <c r="I242" s="137">
        <f t="shared" si="7"/>
        <v>1.0131091479053862</v>
      </c>
    </row>
    <row r="243" spans="1:9" s="7" customFormat="1" ht="19.5" customHeight="1">
      <c r="A243" s="68"/>
      <c r="B243" s="68"/>
      <c r="C243" s="76" t="s">
        <v>318</v>
      </c>
      <c r="D243" s="77">
        <v>320000</v>
      </c>
      <c r="E243" s="77">
        <v>327000</v>
      </c>
      <c r="F243" s="77">
        <v>327000</v>
      </c>
      <c r="G243" s="77"/>
      <c r="H243" s="77"/>
      <c r="I243" s="137">
        <f>E243/D243</f>
        <v>1.021875</v>
      </c>
    </row>
    <row r="244" spans="1:9" s="7" customFormat="1" ht="29.25" customHeight="1">
      <c r="A244" s="68"/>
      <c r="B244" s="68"/>
      <c r="C244" s="179" t="s">
        <v>280</v>
      </c>
      <c r="D244" s="178">
        <v>360000</v>
      </c>
      <c r="E244" s="178">
        <v>250000</v>
      </c>
      <c r="F244" s="178">
        <v>250000</v>
      </c>
      <c r="G244" s="178"/>
      <c r="H244" s="178"/>
      <c r="I244" s="158">
        <f>E244/D244</f>
        <v>0.6944444444444444</v>
      </c>
    </row>
    <row r="245" spans="1:9" s="7" customFormat="1" ht="19.5" customHeight="1">
      <c r="A245" s="68"/>
      <c r="B245" s="72"/>
      <c r="C245" s="82" t="s">
        <v>6</v>
      </c>
      <c r="D245" s="64">
        <v>576263</v>
      </c>
      <c r="E245" s="64">
        <v>500000</v>
      </c>
      <c r="F245" s="64"/>
      <c r="G245" s="64"/>
      <c r="H245" s="64">
        <v>500000</v>
      </c>
      <c r="I245" s="141">
        <f t="shared" si="7"/>
        <v>0.8676593846906707</v>
      </c>
    </row>
    <row r="246" spans="1:9" s="7" customFormat="1" ht="19.5" customHeight="1">
      <c r="A246" s="68"/>
      <c r="B246" s="74">
        <v>85203</v>
      </c>
      <c r="C246" s="74" t="s">
        <v>56</v>
      </c>
      <c r="D246" s="75">
        <f>SUM(D247:D251)</f>
        <v>3457935</v>
      </c>
      <c r="E246" s="75">
        <f>SUM(E247:E251)</f>
        <v>2714000</v>
      </c>
      <c r="F246" s="75">
        <f>SUM(F247:F251)</f>
        <v>2704000</v>
      </c>
      <c r="G246" s="75">
        <f>SUM(G247:G251)</f>
        <v>20000</v>
      </c>
      <c r="H246" s="75">
        <f>SUM(H247:H251)</f>
        <v>10000</v>
      </c>
      <c r="I246" s="139">
        <f t="shared" si="7"/>
        <v>0.7848614852505903</v>
      </c>
    </row>
    <row r="247" spans="1:9" s="7" customFormat="1" ht="19.5" customHeight="1">
      <c r="A247" s="68"/>
      <c r="B247" s="68"/>
      <c r="C247" s="70" t="s">
        <v>326</v>
      </c>
      <c r="D247" s="71">
        <v>1578000</v>
      </c>
      <c r="E247" s="71">
        <v>1570000</v>
      </c>
      <c r="F247" s="71">
        <v>1570000</v>
      </c>
      <c r="G247" s="71"/>
      <c r="H247" s="71"/>
      <c r="I247" s="136">
        <f t="shared" si="7"/>
        <v>0.9949302915082383</v>
      </c>
    </row>
    <row r="248" spans="1:9" s="7" customFormat="1" ht="19.5" customHeight="1">
      <c r="A248" s="68"/>
      <c r="B248" s="54"/>
      <c r="C248" s="78" t="s">
        <v>44</v>
      </c>
      <c r="D248" s="77">
        <v>363658</v>
      </c>
      <c r="E248" s="77">
        <v>382000</v>
      </c>
      <c r="F248" s="77">
        <v>382000</v>
      </c>
      <c r="G248" s="77">
        <v>20000</v>
      </c>
      <c r="H248" s="77"/>
      <c r="I248" s="137">
        <f t="shared" si="7"/>
        <v>1.0504374989688114</v>
      </c>
    </row>
    <row r="249" spans="1:9" s="7" customFormat="1" ht="19.5" customHeight="1">
      <c r="A249" s="68"/>
      <c r="B249" s="68"/>
      <c r="C249" s="78" t="s">
        <v>45</v>
      </c>
      <c r="D249" s="77">
        <v>303000</v>
      </c>
      <c r="E249" s="77">
        <v>312000</v>
      </c>
      <c r="F249" s="77">
        <v>312000</v>
      </c>
      <c r="G249" s="77"/>
      <c r="H249" s="77"/>
      <c r="I249" s="137">
        <f t="shared" si="7"/>
        <v>1.0297029702970297</v>
      </c>
    </row>
    <row r="250" spans="1:9" s="7" customFormat="1" ht="27.75" customHeight="1">
      <c r="A250" s="68"/>
      <c r="B250" s="68"/>
      <c r="C250" s="76" t="s">
        <v>281</v>
      </c>
      <c r="D250" s="77">
        <v>424000</v>
      </c>
      <c r="E250" s="77">
        <v>440000</v>
      </c>
      <c r="F250" s="77">
        <v>440000</v>
      </c>
      <c r="G250" s="77"/>
      <c r="H250" s="77"/>
      <c r="I250" s="137">
        <f>E250/D250</f>
        <v>1.0377358490566038</v>
      </c>
    </row>
    <row r="251" spans="1:9" s="7" customFormat="1" ht="18.75" customHeight="1">
      <c r="A251" s="68"/>
      <c r="B251" s="72"/>
      <c r="C251" s="82" t="s">
        <v>6</v>
      </c>
      <c r="D251" s="64">
        <v>789277</v>
      </c>
      <c r="E251" s="64">
        <v>10000</v>
      </c>
      <c r="F251" s="64"/>
      <c r="G251" s="64"/>
      <c r="H251" s="64">
        <v>10000</v>
      </c>
      <c r="I251" s="141">
        <f>E251/D251</f>
        <v>0.012669823141938761</v>
      </c>
    </row>
    <row r="252" spans="1:9" s="7" customFormat="1" ht="19.5" customHeight="1">
      <c r="A252" s="68"/>
      <c r="B252" s="74">
        <v>85204</v>
      </c>
      <c r="C252" s="84" t="s">
        <v>93</v>
      </c>
      <c r="D252" s="75">
        <f>SUM(D253:D254)</f>
        <v>5300000</v>
      </c>
      <c r="E252" s="75">
        <f>SUM(E253:E254)</f>
        <v>5452000</v>
      </c>
      <c r="F252" s="75">
        <f>SUM(F253:F254)</f>
        <v>5452000</v>
      </c>
      <c r="G252" s="75"/>
      <c r="H252" s="75"/>
      <c r="I252" s="139">
        <f t="shared" si="7"/>
        <v>1.028679245283019</v>
      </c>
    </row>
    <row r="253" spans="1:9" s="7" customFormat="1" ht="18.75" customHeight="1">
      <c r="A253" s="68"/>
      <c r="B253" s="68"/>
      <c r="C253" s="70" t="s">
        <v>94</v>
      </c>
      <c r="D253" s="71">
        <v>5200000</v>
      </c>
      <c r="E253" s="71">
        <f>5400000-78000</f>
        <v>5322000</v>
      </c>
      <c r="F253" s="71">
        <f>5400000-78000</f>
        <v>5322000</v>
      </c>
      <c r="G253" s="71"/>
      <c r="H253" s="71"/>
      <c r="I253" s="136">
        <f t="shared" si="7"/>
        <v>1.0234615384615384</v>
      </c>
    </row>
    <row r="254" spans="1:9" s="7" customFormat="1" ht="31.5" customHeight="1">
      <c r="A254" s="68"/>
      <c r="B254" s="74"/>
      <c r="C254" s="124" t="s">
        <v>307</v>
      </c>
      <c r="D254" s="64">
        <v>100000</v>
      </c>
      <c r="E254" s="64">
        <v>130000</v>
      </c>
      <c r="F254" s="64">
        <v>130000</v>
      </c>
      <c r="G254" s="64"/>
      <c r="H254" s="64"/>
      <c r="I254" s="141">
        <f>E254/D254</f>
        <v>1.3</v>
      </c>
    </row>
    <row r="255" spans="1:9" s="43" customFormat="1" ht="19.5" customHeight="1">
      <c r="A255" s="54"/>
      <c r="B255" s="74">
        <v>85214</v>
      </c>
      <c r="C255" s="84" t="s">
        <v>185</v>
      </c>
      <c r="D255" s="75">
        <f>D256</f>
        <v>7900000</v>
      </c>
      <c r="E255" s="75">
        <f>E256</f>
        <v>10000000</v>
      </c>
      <c r="F255" s="75">
        <f>F256</f>
        <v>10000000</v>
      </c>
      <c r="G255" s="75"/>
      <c r="H255" s="75"/>
      <c r="I255" s="139">
        <f t="shared" si="7"/>
        <v>1.2658227848101267</v>
      </c>
    </row>
    <row r="256" spans="1:9" s="7" customFormat="1" ht="18.75" customHeight="1">
      <c r="A256" s="68"/>
      <c r="B256" s="86"/>
      <c r="C256" s="86" t="s">
        <v>94</v>
      </c>
      <c r="D256" s="88">
        <v>7900000</v>
      </c>
      <c r="E256" s="88">
        <v>10000000</v>
      </c>
      <c r="F256" s="88">
        <v>10000000</v>
      </c>
      <c r="G256" s="88"/>
      <c r="H256" s="88"/>
      <c r="I256" s="131">
        <f t="shared" si="7"/>
        <v>1.2658227848101267</v>
      </c>
    </row>
    <row r="257" spans="1:9" s="43" customFormat="1" ht="19.5" customHeight="1">
      <c r="A257" s="54"/>
      <c r="B257" s="74">
        <v>85215</v>
      </c>
      <c r="C257" s="74" t="s">
        <v>58</v>
      </c>
      <c r="D257" s="75">
        <f>D258</f>
        <v>20500000</v>
      </c>
      <c r="E257" s="75">
        <f>E258</f>
        <v>21500000</v>
      </c>
      <c r="F257" s="75">
        <f>F258</f>
        <v>21500000</v>
      </c>
      <c r="G257" s="75"/>
      <c r="H257" s="75"/>
      <c r="I257" s="139">
        <f t="shared" si="7"/>
        <v>1.048780487804878</v>
      </c>
    </row>
    <row r="258" spans="1:9" s="7" customFormat="1" ht="19.5" customHeight="1">
      <c r="A258" s="68"/>
      <c r="B258" s="86"/>
      <c r="C258" s="86" t="s">
        <v>100</v>
      </c>
      <c r="D258" s="88">
        <v>20500000</v>
      </c>
      <c r="E258" s="88">
        <v>21500000</v>
      </c>
      <c r="F258" s="88">
        <v>21500000</v>
      </c>
      <c r="G258" s="88"/>
      <c r="H258" s="88"/>
      <c r="I258" s="131">
        <f t="shared" si="7"/>
        <v>1.048780487804878</v>
      </c>
    </row>
    <row r="259" spans="1:9" s="7" customFormat="1" ht="19.5" customHeight="1">
      <c r="A259" s="68"/>
      <c r="B259" s="74">
        <v>85219</v>
      </c>
      <c r="C259" s="74" t="s">
        <v>165</v>
      </c>
      <c r="D259" s="75">
        <f>SUM(D260:D263)</f>
        <v>10691000</v>
      </c>
      <c r="E259" s="75">
        <f>SUM(E260:E263)</f>
        <v>11218600</v>
      </c>
      <c r="F259" s="75">
        <f>SUM(F260:F263)</f>
        <v>11118600</v>
      </c>
      <c r="G259" s="75">
        <f>SUM(G260:G263)</f>
        <v>10000</v>
      </c>
      <c r="H259" s="75">
        <f>SUM(H260:H263)</f>
        <v>100000</v>
      </c>
      <c r="I259" s="139">
        <f t="shared" si="7"/>
        <v>1.0493499204938734</v>
      </c>
    </row>
    <row r="260" spans="1:9" s="7" customFormat="1" ht="18.75" customHeight="1">
      <c r="A260" s="68"/>
      <c r="B260" s="68"/>
      <c r="C260" s="70" t="s">
        <v>326</v>
      </c>
      <c r="D260" s="71">
        <f>7773300+74000</f>
        <v>7847300</v>
      </c>
      <c r="E260" s="71">
        <f>8100000+74000</f>
        <v>8174000</v>
      </c>
      <c r="F260" s="71">
        <f>8100000+74000</f>
        <v>8174000</v>
      </c>
      <c r="G260" s="71"/>
      <c r="H260" s="71"/>
      <c r="I260" s="136">
        <f t="shared" si="7"/>
        <v>1.0416321537344055</v>
      </c>
    </row>
    <row r="261" spans="1:9" s="7" customFormat="1" ht="18.75" customHeight="1">
      <c r="A261" s="68"/>
      <c r="B261" s="68"/>
      <c r="C261" s="78" t="s">
        <v>44</v>
      </c>
      <c r="D261" s="77">
        <f>1380700-74000</f>
        <v>1306700</v>
      </c>
      <c r="E261" s="77">
        <f>1418600-74000</f>
        <v>1344600</v>
      </c>
      <c r="F261" s="77">
        <f>1418600-74000</f>
        <v>1344600</v>
      </c>
      <c r="G261" s="77">
        <v>10000</v>
      </c>
      <c r="H261" s="77"/>
      <c r="I261" s="137">
        <f t="shared" si="7"/>
        <v>1.0290043621336191</v>
      </c>
    </row>
    <row r="262" spans="1:9" s="7" customFormat="1" ht="18.75" customHeight="1">
      <c r="A262" s="68"/>
      <c r="B262" s="68"/>
      <c r="C262" s="78" t="s">
        <v>45</v>
      </c>
      <c r="D262" s="77">
        <f>1525000</f>
        <v>1525000</v>
      </c>
      <c r="E262" s="77">
        <v>1600000</v>
      </c>
      <c r="F262" s="77">
        <v>1600000</v>
      </c>
      <c r="G262" s="77"/>
      <c r="H262" s="77"/>
      <c r="I262" s="137">
        <f t="shared" si="7"/>
        <v>1.0491803278688525</v>
      </c>
    </row>
    <row r="263" spans="1:9" s="7" customFormat="1" ht="18.75" customHeight="1">
      <c r="A263" s="68"/>
      <c r="B263" s="72"/>
      <c r="C263" s="72" t="s">
        <v>6</v>
      </c>
      <c r="D263" s="73">
        <f>12000</f>
        <v>12000</v>
      </c>
      <c r="E263" s="73">
        <v>100000</v>
      </c>
      <c r="F263" s="73"/>
      <c r="G263" s="73"/>
      <c r="H263" s="73">
        <v>100000</v>
      </c>
      <c r="I263" s="138">
        <f>E263/D263</f>
        <v>8.333333333333334</v>
      </c>
    </row>
    <row r="264" spans="1:9" s="43" customFormat="1" ht="28.5" customHeight="1">
      <c r="A264" s="54"/>
      <c r="B264" s="74">
        <v>85220</v>
      </c>
      <c r="C264" s="84" t="s">
        <v>250</v>
      </c>
      <c r="D264" s="75">
        <f>SUM(D265:D266)</f>
        <v>200000</v>
      </c>
      <c r="E264" s="75">
        <f>SUM(E265:E266)</f>
        <v>128000</v>
      </c>
      <c r="F264" s="75">
        <f>SUM(F265:F266)</f>
        <v>128000</v>
      </c>
      <c r="G264" s="75">
        <f>SUM(G265:G266)</f>
        <v>60000</v>
      </c>
      <c r="H264" s="75"/>
      <c r="I264" s="139">
        <f>E264/D264</f>
        <v>0.64</v>
      </c>
    </row>
    <row r="265" spans="1:9" s="7" customFormat="1" ht="18.75" customHeight="1">
      <c r="A265" s="68"/>
      <c r="B265" s="68"/>
      <c r="C265" s="70" t="s">
        <v>224</v>
      </c>
      <c r="D265" s="71">
        <v>200000</v>
      </c>
      <c r="E265" s="71">
        <v>120000</v>
      </c>
      <c r="F265" s="71">
        <v>120000</v>
      </c>
      <c r="G265" s="71">
        <v>60000</v>
      </c>
      <c r="H265" s="71"/>
      <c r="I265" s="136">
        <f>E265/D265</f>
        <v>0.6</v>
      </c>
    </row>
    <row r="266" spans="1:9" s="7" customFormat="1" ht="18.75" customHeight="1">
      <c r="A266" s="68"/>
      <c r="B266" s="68"/>
      <c r="C266" s="180" t="s">
        <v>308</v>
      </c>
      <c r="D266" s="201"/>
      <c r="E266" s="178">
        <v>8000</v>
      </c>
      <c r="F266" s="178">
        <v>8000</v>
      </c>
      <c r="G266" s="178"/>
      <c r="H266" s="178"/>
      <c r="I266" s="158"/>
    </row>
    <row r="267" spans="1:9" s="7" customFormat="1" ht="18.75" customHeight="1">
      <c r="A267" s="184"/>
      <c r="B267" s="184"/>
      <c r="C267" s="184"/>
      <c r="D267" s="202"/>
      <c r="E267" s="185"/>
      <c r="F267" s="185"/>
      <c r="G267" s="185"/>
      <c r="H267" s="185"/>
      <c r="I267" s="186"/>
    </row>
    <row r="268" spans="1:9" s="43" customFormat="1" ht="19.5" customHeight="1">
      <c r="A268" s="54"/>
      <c r="B268" s="74">
        <v>85226</v>
      </c>
      <c r="C268" s="74" t="s">
        <v>59</v>
      </c>
      <c r="D268" s="75">
        <f>SUM(D269:D271)</f>
        <v>251100</v>
      </c>
      <c r="E268" s="75">
        <f>SUM(E269:E271)</f>
        <v>263000</v>
      </c>
      <c r="F268" s="75">
        <f>SUM(F269:F271)</f>
        <v>263000</v>
      </c>
      <c r="G268" s="75">
        <f>SUM(G269:G271)</f>
        <v>5000</v>
      </c>
      <c r="H268" s="75"/>
      <c r="I268" s="139">
        <f t="shared" si="7"/>
        <v>1.0473914774990043</v>
      </c>
    </row>
    <row r="269" spans="1:9" s="7" customFormat="1" ht="19.5" customHeight="1">
      <c r="A269" s="68"/>
      <c r="B269" s="68"/>
      <c r="C269" s="70" t="s">
        <v>326</v>
      </c>
      <c r="D269" s="71">
        <f>179500+2800</f>
        <v>182300</v>
      </c>
      <c r="E269" s="71">
        <f>182000+2800</f>
        <v>184800</v>
      </c>
      <c r="F269" s="71">
        <f>182000+2800</f>
        <v>184800</v>
      </c>
      <c r="G269" s="71"/>
      <c r="H269" s="71"/>
      <c r="I269" s="136">
        <f t="shared" si="7"/>
        <v>1.0137136588041689</v>
      </c>
    </row>
    <row r="270" spans="1:9" s="7" customFormat="1" ht="19.5" customHeight="1">
      <c r="A270" s="68"/>
      <c r="B270" s="68"/>
      <c r="C270" s="78" t="s">
        <v>44</v>
      </c>
      <c r="D270" s="77">
        <f>37000-2800</f>
        <v>34200</v>
      </c>
      <c r="E270" s="77">
        <f>45000-2800</f>
        <v>42200</v>
      </c>
      <c r="F270" s="77">
        <f>45000-2800</f>
        <v>42200</v>
      </c>
      <c r="G270" s="77">
        <v>5000</v>
      </c>
      <c r="H270" s="77"/>
      <c r="I270" s="137">
        <f t="shared" si="7"/>
        <v>1.2339181286549707</v>
      </c>
    </row>
    <row r="271" spans="1:9" s="7" customFormat="1" ht="19.5" customHeight="1">
      <c r="A271" s="68"/>
      <c r="B271" s="72"/>
      <c r="C271" s="82" t="s">
        <v>45</v>
      </c>
      <c r="D271" s="64">
        <v>34600</v>
      </c>
      <c r="E271" s="64">
        <v>36000</v>
      </c>
      <c r="F271" s="64">
        <v>36000</v>
      </c>
      <c r="G271" s="64"/>
      <c r="H271" s="64"/>
      <c r="I271" s="141">
        <f t="shared" si="7"/>
        <v>1.0404624277456647</v>
      </c>
    </row>
    <row r="272" spans="1:9" s="43" customFormat="1" ht="19.5" customHeight="1">
      <c r="A272" s="54"/>
      <c r="B272" s="74">
        <v>85228</v>
      </c>
      <c r="C272" s="74" t="s">
        <v>60</v>
      </c>
      <c r="D272" s="75">
        <f>D273</f>
        <v>7400000</v>
      </c>
      <c r="E272" s="75">
        <f>E273</f>
        <v>7400000</v>
      </c>
      <c r="F272" s="75">
        <f>F273</f>
        <v>7400000</v>
      </c>
      <c r="G272" s="75"/>
      <c r="H272" s="75"/>
      <c r="I272" s="139">
        <f t="shared" si="7"/>
        <v>1</v>
      </c>
    </row>
    <row r="273" spans="1:9" s="7" customFormat="1" ht="19.5" customHeight="1">
      <c r="A273" s="68"/>
      <c r="B273" s="86"/>
      <c r="C273" s="86" t="s">
        <v>99</v>
      </c>
      <c r="D273" s="88">
        <v>7400000</v>
      </c>
      <c r="E273" s="88">
        <v>7400000</v>
      </c>
      <c r="F273" s="88">
        <v>7400000</v>
      </c>
      <c r="G273" s="88"/>
      <c r="H273" s="88"/>
      <c r="I273" s="131">
        <f t="shared" si="7"/>
        <v>1</v>
      </c>
    </row>
    <row r="274" spans="1:9" s="43" customFormat="1" ht="19.5" customHeight="1">
      <c r="A274" s="54"/>
      <c r="B274" s="74">
        <v>85233</v>
      </c>
      <c r="C274" s="74" t="s">
        <v>187</v>
      </c>
      <c r="D274" s="75">
        <f>D275</f>
        <v>28000</v>
      </c>
      <c r="E274" s="75">
        <f>E275</f>
        <v>29000</v>
      </c>
      <c r="F274" s="75">
        <f>F275</f>
        <v>29000</v>
      </c>
      <c r="G274" s="75"/>
      <c r="H274" s="75"/>
      <c r="I274" s="139">
        <f t="shared" si="7"/>
        <v>1.0357142857142858</v>
      </c>
    </row>
    <row r="275" spans="1:9" s="7" customFormat="1" ht="19.5" customHeight="1">
      <c r="A275" s="68"/>
      <c r="B275" s="86"/>
      <c r="C275" s="86" t="s">
        <v>188</v>
      </c>
      <c r="D275" s="88">
        <v>28000</v>
      </c>
      <c r="E275" s="88">
        <v>29000</v>
      </c>
      <c r="F275" s="88">
        <v>29000</v>
      </c>
      <c r="G275" s="88"/>
      <c r="H275" s="88"/>
      <c r="I275" s="131">
        <f t="shared" si="7"/>
        <v>1.0357142857142858</v>
      </c>
    </row>
    <row r="276" spans="1:9" s="43" customFormat="1" ht="19.5" customHeight="1">
      <c r="A276" s="54"/>
      <c r="B276" s="74">
        <v>85295</v>
      </c>
      <c r="C276" s="74" t="s">
        <v>4</v>
      </c>
      <c r="D276" s="75">
        <f>SUM(D277:D282)</f>
        <v>1268800</v>
      </c>
      <c r="E276" s="75">
        <f>SUM(E277:E282)</f>
        <v>815000</v>
      </c>
      <c r="F276" s="75">
        <f>SUM(F277:F282)</f>
        <v>815000</v>
      </c>
      <c r="G276" s="75"/>
      <c r="H276" s="75"/>
      <c r="I276" s="139">
        <f t="shared" si="7"/>
        <v>0.6423392181588903</v>
      </c>
    </row>
    <row r="277" spans="1:9" s="43" customFormat="1" ht="30" customHeight="1">
      <c r="A277" s="54"/>
      <c r="B277" s="54"/>
      <c r="C277" s="81" t="s">
        <v>283</v>
      </c>
      <c r="D277" s="80">
        <v>730000</v>
      </c>
      <c r="E277" s="80">
        <v>750000</v>
      </c>
      <c r="F277" s="80">
        <v>750000</v>
      </c>
      <c r="G277" s="80"/>
      <c r="H277" s="80"/>
      <c r="I277" s="140">
        <f>E277/D277</f>
        <v>1.0273972602739727</v>
      </c>
    </row>
    <row r="278" spans="1:9" s="7" customFormat="1" ht="19.5" customHeight="1">
      <c r="A278" s="68"/>
      <c r="B278" s="68"/>
      <c r="C278" s="76" t="s">
        <v>284</v>
      </c>
      <c r="D278" s="77">
        <v>32000</v>
      </c>
      <c r="E278" s="77">
        <v>33000</v>
      </c>
      <c r="F278" s="77">
        <v>33000</v>
      </c>
      <c r="G278" s="77"/>
      <c r="H278" s="77"/>
      <c r="I278" s="137">
        <f t="shared" si="7"/>
        <v>1.03125</v>
      </c>
    </row>
    <row r="279" spans="1:9" s="7" customFormat="1" ht="19.5" customHeight="1">
      <c r="A279" s="68"/>
      <c r="B279" s="68"/>
      <c r="C279" s="76" t="s">
        <v>285</v>
      </c>
      <c r="D279" s="77">
        <v>18000</v>
      </c>
      <c r="E279" s="77">
        <v>18000</v>
      </c>
      <c r="F279" s="77">
        <v>18000</v>
      </c>
      <c r="G279" s="77"/>
      <c r="H279" s="77"/>
      <c r="I279" s="137">
        <f t="shared" si="7"/>
        <v>1</v>
      </c>
    </row>
    <row r="280" spans="1:9" s="7" customFormat="1" ht="28.5" customHeight="1">
      <c r="A280" s="68"/>
      <c r="B280" s="68"/>
      <c r="C280" s="179" t="s">
        <v>286</v>
      </c>
      <c r="D280" s="178">
        <v>14000</v>
      </c>
      <c r="E280" s="178">
        <v>14000</v>
      </c>
      <c r="F280" s="178">
        <v>14000</v>
      </c>
      <c r="G280" s="178"/>
      <c r="H280" s="178"/>
      <c r="I280" s="158">
        <f>E280/D280</f>
        <v>1</v>
      </c>
    </row>
    <row r="281" spans="1:9" s="7" customFormat="1" ht="28.5" customHeight="1">
      <c r="A281" s="68"/>
      <c r="B281" s="68"/>
      <c r="C281" s="179" t="s">
        <v>287</v>
      </c>
      <c r="D281" s="178">
        <v>36000</v>
      </c>
      <c r="E281" s="178"/>
      <c r="F281" s="178"/>
      <c r="G281" s="178"/>
      <c r="H281" s="178"/>
      <c r="I281" s="158"/>
    </row>
    <row r="282" spans="1:9" s="7" customFormat="1" ht="18.75" customHeight="1">
      <c r="A282" s="72"/>
      <c r="B282" s="72"/>
      <c r="C282" s="63" t="s">
        <v>219</v>
      </c>
      <c r="D282" s="64">
        <v>438800</v>
      </c>
      <c r="E282" s="64"/>
      <c r="F282" s="64"/>
      <c r="G282" s="64"/>
      <c r="H282" s="64"/>
      <c r="I282" s="141"/>
    </row>
    <row r="283" spans="1:9" s="7" customFormat="1" ht="19.5" customHeight="1">
      <c r="A283" s="51">
        <v>853</v>
      </c>
      <c r="B283" s="51"/>
      <c r="C283" s="51" t="s">
        <v>210</v>
      </c>
      <c r="D283" s="52">
        <f>D284+D289+D295</f>
        <v>7390674</v>
      </c>
      <c r="E283" s="52">
        <f>E284+E289+E295</f>
        <v>8227670</v>
      </c>
      <c r="F283" s="52">
        <f>F284+F289+F295</f>
        <v>7844670</v>
      </c>
      <c r="G283" s="52">
        <f>G284+G289+G295</f>
        <v>123000</v>
      </c>
      <c r="H283" s="52">
        <f>H284+H289+H295</f>
        <v>383000</v>
      </c>
      <c r="I283" s="129">
        <f>E283/D283</f>
        <v>1.1132502935456225</v>
      </c>
    </row>
    <row r="284" spans="1:9" s="7" customFormat="1" ht="19.5" customHeight="1">
      <c r="A284" s="68"/>
      <c r="B284" s="74">
        <v>85305</v>
      </c>
      <c r="C284" s="74" t="s">
        <v>57</v>
      </c>
      <c r="D284" s="75">
        <f>SUM(D285:D288)</f>
        <v>4620994</v>
      </c>
      <c r="E284" s="75">
        <f>SUM(E285:E288)</f>
        <v>4716000</v>
      </c>
      <c r="F284" s="75">
        <f>SUM(F285:F288)</f>
        <v>4687000</v>
      </c>
      <c r="G284" s="75">
        <f>SUM(G285:G288)</f>
        <v>93000</v>
      </c>
      <c r="H284" s="75">
        <f>SUM(H285:H288)</f>
        <v>29000</v>
      </c>
      <c r="I284" s="139">
        <f>E284/D284</f>
        <v>1.020559645825119</v>
      </c>
    </row>
    <row r="285" spans="1:9" s="7" customFormat="1" ht="19.5" customHeight="1">
      <c r="A285" s="68"/>
      <c r="B285" s="68"/>
      <c r="C285" s="70" t="s">
        <v>326</v>
      </c>
      <c r="D285" s="71">
        <v>3264994</v>
      </c>
      <c r="E285" s="71">
        <v>3285000</v>
      </c>
      <c r="F285" s="71">
        <v>3285000</v>
      </c>
      <c r="G285" s="71"/>
      <c r="H285" s="71"/>
      <c r="I285" s="136">
        <f>E285/D285</f>
        <v>1.0061274232050657</v>
      </c>
    </row>
    <row r="286" spans="1:9" s="7" customFormat="1" ht="19.5" customHeight="1">
      <c r="A286" s="68"/>
      <c r="B286" s="68"/>
      <c r="C286" s="78" t="s">
        <v>44</v>
      </c>
      <c r="D286" s="77">
        <v>718440</v>
      </c>
      <c r="E286" s="77">
        <v>769000</v>
      </c>
      <c r="F286" s="77">
        <v>769000</v>
      </c>
      <c r="G286" s="77">
        <v>93000</v>
      </c>
      <c r="H286" s="77"/>
      <c r="I286" s="137">
        <f>E286/D286</f>
        <v>1.0703747007404933</v>
      </c>
    </row>
    <row r="287" spans="1:9" s="7" customFormat="1" ht="19.5" customHeight="1">
      <c r="A287" s="68"/>
      <c r="B287" s="68"/>
      <c r="C287" s="78" t="s">
        <v>45</v>
      </c>
      <c r="D287" s="77">
        <v>624000</v>
      </c>
      <c r="E287" s="77">
        <v>633000</v>
      </c>
      <c r="F287" s="77">
        <v>633000</v>
      </c>
      <c r="G287" s="77"/>
      <c r="H287" s="77"/>
      <c r="I287" s="137">
        <f>E287/D287</f>
        <v>1.0144230769230769</v>
      </c>
    </row>
    <row r="288" spans="1:9" s="7" customFormat="1" ht="19.5" customHeight="1">
      <c r="A288" s="68"/>
      <c r="B288" s="72"/>
      <c r="C288" s="82" t="s">
        <v>6</v>
      </c>
      <c r="D288" s="64">
        <v>13560</v>
      </c>
      <c r="E288" s="64">
        <v>29000</v>
      </c>
      <c r="F288" s="64"/>
      <c r="G288" s="64"/>
      <c r="H288" s="64">
        <v>29000</v>
      </c>
      <c r="I288" s="141">
        <f aca="true" t="shared" si="8" ref="I288:I294">E288/D288</f>
        <v>2.1386430678466075</v>
      </c>
    </row>
    <row r="289" spans="1:9" s="43" customFormat="1" ht="19.5" customHeight="1">
      <c r="A289" s="54"/>
      <c r="B289" s="74">
        <v>85333</v>
      </c>
      <c r="C289" s="74" t="s">
        <v>61</v>
      </c>
      <c r="D289" s="75">
        <f>SUM(D290:D294)</f>
        <v>2769680</v>
      </c>
      <c r="E289" s="75">
        <f>SUM(E290:E294)</f>
        <v>3481670</v>
      </c>
      <c r="F289" s="75">
        <f>SUM(F290:F294)</f>
        <v>3127670</v>
      </c>
      <c r="G289" s="75">
        <f>SUM(G290:G294)</f>
        <v>30000</v>
      </c>
      <c r="H289" s="75">
        <f>SUM(H290:H294)</f>
        <v>354000</v>
      </c>
      <c r="I289" s="139">
        <f t="shared" si="8"/>
        <v>1.2570657982149562</v>
      </c>
    </row>
    <row r="290" spans="1:9" s="7" customFormat="1" ht="19.5" customHeight="1">
      <c r="A290" s="68"/>
      <c r="B290" s="68"/>
      <c r="C290" s="70" t="s">
        <v>326</v>
      </c>
      <c r="D290" s="71">
        <f>1787000+1000</f>
        <v>1788000</v>
      </c>
      <c r="E290" s="71">
        <f>2032000+1000</f>
        <v>2033000</v>
      </c>
      <c r="F290" s="71">
        <f>2032000+1000</f>
        <v>2033000</v>
      </c>
      <c r="G290" s="71"/>
      <c r="H290" s="71"/>
      <c r="I290" s="136">
        <f t="shared" si="8"/>
        <v>1.1370246085011186</v>
      </c>
    </row>
    <row r="291" spans="1:9" s="7" customFormat="1" ht="19.5" customHeight="1">
      <c r="A291" s="68"/>
      <c r="B291" s="68"/>
      <c r="C291" s="78" t="s">
        <v>44</v>
      </c>
      <c r="D291" s="77">
        <f>506000-1000</f>
        <v>505000</v>
      </c>
      <c r="E291" s="77">
        <f>598500-1000</f>
        <v>597500</v>
      </c>
      <c r="F291" s="77">
        <f>598500-1000</f>
        <v>597500</v>
      </c>
      <c r="G291" s="77">
        <v>30000</v>
      </c>
      <c r="H291" s="77"/>
      <c r="I291" s="137">
        <f t="shared" si="8"/>
        <v>1.183168316831683</v>
      </c>
    </row>
    <row r="292" spans="1:9" s="7" customFormat="1" ht="19.5" customHeight="1">
      <c r="A292" s="68"/>
      <c r="B292" s="68"/>
      <c r="C292" s="78" t="s">
        <v>45</v>
      </c>
      <c r="D292" s="77">
        <v>342000</v>
      </c>
      <c r="E292" s="77">
        <v>388500</v>
      </c>
      <c r="F292" s="77">
        <v>388500</v>
      </c>
      <c r="G292" s="77"/>
      <c r="H292" s="77"/>
      <c r="I292" s="137">
        <f t="shared" si="8"/>
        <v>1.1359649122807018</v>
      </c>
    </row>
    <row r="293" spans="1:9" s="7" customFormat="1" ht="19.5" customHeight="1">
      <c r="A293" s="68"/>
      <c r="B293" s="68"/>
      <c r="C293" s="180" t="s">
        <v>277</v>
      </c>
      <c r="D293" s="178">
        <v>94680</v>
      </c>
      <c r="E293" s="178">
        <v>108670</v>
      </c>
      <c r="F293" s="178">
        <v>108670</v>
      </c>
      <c r="G293" s="178"/>
      <c r="H293" s="178"/>
      <c r="I293" s="158">
        <f t="shared" si="8"/>
        <v>1.147760878749472</v>
      </c>
    </row>
    <row r="294" spans="1:9" s="7" customFormat="1" ht="19.5" customHeight="1">
      <c r="A294" s="68"/>
      <c r="B294" s="72"/>
      <c r="C294" s="82" t="s">
        <v>6</v>
      </c>
      <c r="D294" s="64">
        <v>40000</v>
      </c>
      <c r="E294" s="64">
        <v>354000</v>
      </c>
      <c r="F294" s="64"/>
      <c r="G294" s="64"/>
      <c r="H294" s="64">
        <v>354000</v>
      </c>
      <c r="I294" s="141">
        <f t="shared" si="8"/>
        <v>8.85</v>
      </c>
    </row>
    <row r="295" spans="1:9" s="43" customFormat="1" ht="19.5" customHeight="1">
      <c r="A295" s="54"/>
      <c r="B295" s="74">
        <v>85334</v>
      </c>
      <c r="C295" s="74" t="s">
        <v>193</v>
      </c>
      <c r="D295" s="75"/>
      <c r="E295" s="75">
        <f>E296</f>
        <v>30000</v>
      </c>
      <c r="F295" s="75">
        <f>F296</f>
        <v>30000</v>
      </c>
      <c r="G295" s="75"/>
      <c r="H295" s="75"/>
      <c r="I295" s="139"/>
    </row>
    <row r="296" spans="1:9" s="7" customFormat="1" ht="19.5" customHeight="1">
      <c r="A296" s="72"/>
      <c r="B296" s="86"/>
      <c r="C296" s="86" t="s">
        <v>233</v>
      </c>
      <c r="D296" s="88"/>
      <c r="E296" s="88">
        <v>30000</v>
      </c>
      <c r="F296" s="88">
        <v>30000</v>
      </c>
      <c r="G296" s="88"/>
      <c r="H296" s="88"/>
      <c r="I296" s="131"/>
    </row>
    <row r="297" spans="1:9" s="7" customFormat="1" ht="19.5" customHeight="1">
      <c r="A297" s="51">
        <v>854</v>
      </c>
      <c r="B297" s="51"/>
      <c r="C297" s="51" t="s">
        <v>62</v>
      </c>
      <c r="D297" s="52">
        <f>D298+D302+D308+D312+D316+D321+D323+D327+D338+D346+D335+D331</f>
        <v>36631079</v>
      </c>
      <c r="E297" s="52">
        <f>E298+E302+E308+E312+E316+E321+E323+E327+E338+E346+E335+E331</f>
        <v>37371000</v>
      </c>
      <c r="F297" s="52">
        <f>F298+F302+F308+F312+F316+F321+F323+F327+F338+F346+F335+F331</f>
        <v>37371000</v>
      </c>
      <c r="G297" s="52">
        <f>G298+G302+G308+G312+G316+G321+G323+G327+G338+G346+G335+G331</f>
        <v>100000</v>
      </c>
      <c r="H297" s="52"/>
      <c r="I297" s="129">
        <f t="shared" si="7"/>
        <v>1.0201992684954762</v>
      </c>
    </row>
    <row r="298" spans="1:9" s="7" customFormat="1" ht="19.5" customHeight="1">
      <c r="A298" s="68"/>
      <c r="B298" s="55">
        <v>85401</v>
      </c>
      <c r="C298" s="55" t="s">
        <v>63</v>
      </c>
      <c r="D298" s="56">
        <f>SUM(D299:D301)</f>
        <v>6175662</v>
      </c>
      <c r="E298" s="56">
        <f>SUM(E299:E301)</f>
        <v>6931000</v>
      </c>
      <c r="F298" s="56">
        <f>SUM(F299:F301)</f>
        <v>6931000</v>
      </c>
      <c r="G298" s="56"/>
      <c r="H298" s="56"/>
      <c r="I298" s="130">
        <f t="shared" si="7"/>
        <v>1.1223088310208686</v>
      </c>
    </row>
    <row r="299" spans="1:9" s="7" customFormat="1" ht="18.75" customHeight="1">
      <c r="A299" s="68"/>
      <c r="B299" s="68"/>
      <c r="C299" s="70" t="s">
        <v>326</v>
      </c>
      <c r="D299" s="71">
        <f>4355010+129808+500000-62000</f>
        <v>4922818</v>
      </c>
      <c r="E299" s="71">
        <v>5484700</v>
      </c>
      <c r="F299" s="71">
        <v>5484700</v>
      </c>
      <c r="G299" s="71"/>
      <c r="H299" s="71"/>
      <c r="I299" s="136">
        <f t="shared" si="7"/>
        <v>1.1141382842103853</v>
      </c>
    </row>
    <row r="300" spans="1:9" s="7" customFormat="1" ht="18.75" customHeight="1">
      <c r="A300" s="68"/>
      <c r="B300" s="68"/>
      <c r="C300" s="97" t="s">
        <v>44</v>
      </c>
      <c r="D300" s="60">
        <f>329096-30200</f>
        <v>298896</v>
      </c>
      <c r="E300" s="60">
        <v>380000</v>
      </c>
      <c r="F300" s="60">
        <v>380000</v>
      </c>
      <c r="G300" s="60"/>
      <c r="H300" s="60"/>
      <c r="I300" s="134">
        <f aca="true" t="shared" si="9" ref="I300:I355">E300/D300</f>
        <v>1.2713452170654675</v>
      </c>
    </row>
    <row r="301" spans="1:9" s="7" customFormat="1" ht="18.75" customHeight="1">
      <c r="A301" s="68"/>
      <c r="B301" s="72"/>
      <c r="C301" s="72" t="s">
        <v>45</v>
      </c>
      <c r="D301" s="73">
        <f>869507+13541+66800+4100</f>
        <v>953948</v>
      </c>
      <c r="E301" s="73">
        <v>1066300</v>
      </c>
      <c r="F301" s="73">
        <v>1066300</v>
      </c>
      <c r="G301" s="73"/>
      <c r="H301" s="73"/>
      <c r="I301" s="138">
        <f t="shared" si="9"/>
        <v>1.1177758116794627</v>
      </c>
    </row>
    <row r="302" spans="1:9" s="7" customFormat="1" ht="19.5" customHeight="1">
      <c r="A302" s="68"/>
      <c r="B302" s="74">
        <v>85403</v>
      </c>
      <c r="C302" s="74" t="s">
        <v>127</v>
      </c>
      <c r="D302" s="75">
        <f>SUM(D303:D307)</f>
        <v>7938800</v>
      </c>
      <c r="E302" s="75">
        <f>SUM(E303:E307)</f>
        <v>7590000</v>
      </c>
      <c r="F302" s="75">
        <f>SUM(F303:F307)</f>
        <v>7590000</v>
      </c>
      <c r="G302" s="75"/>
      <c r="H302" s="75"/>
      <c r="I302" s="139">
        <f t="shared" si="9"/>
        <v>0.9560638887489293</v>
      </c>
    </row>
    <row r="303" spans="1:9" s="7" customFormat="1" ht="18.75" customHeight="1">
      <c r="A303" s="68"/>
      <c r="B303" s="68"/>
      <c r="C303" s="70" t="s">
        <v>326</v>
      </c>
      <c r="D303" s="71">
        <f>4927000-6000+205000+4000</f>
        <v>5130000</v>
      </c>
      <c r="E303" s="71">
        <v>4924900</v>
      </c>
      <c r="F303" s="71">
        <v>4924900</v>
      </c>
      <c r="G303" s="71"/>
      <c r="H303" s="71"/>
      <c r="I303" s="136">
        <f t="shared" si="9"/>
        <v>0.9600194931773879</v>
      </c>
    </row>
    <row r="304" spans="1:9" s="7" customFormat="1" ht="18.75" customHeight="1">
      <c r="A304" s="68"/>
      <c r="B304" s="68"/>
      <c r="C304" s="97" t="s">
        <v>44</v>
      </c>
      <c r="D304" s="60">
        <v>1127000</v>
      </c>
      <c r="E304" s="60">
        <v>1110000</v>
      </c>
      <c r="F304" s="60">
        <v>1110000</v>
      </c>
      <c r="G304" s="60"/>
      <c r="H304" s="60"/>
      <c r="I304" s="134">
        <f t="shared" si="9"/>
        <v>0.9849157054125999</v>
      </c>
    </row>
    <row r="305" spans="1:9" s="7" customFormat="1" ht="18.75" customHeight="1">
      <c r="A305" s="68"/>
      <c r="B305" s="68"/>
      <c r="C305" s="78" t="s">
        <v>45</v>
      </c>
      <c r="D305" s="77">
        <f>959000+6000+11700+2200</f>
        <v>978900</v>
      </c>
      <c r="E305" s="77">
        <v>951500</v>
      </c>
      <c r="F305" s="77">
        <v>951500</v>
      </c>
      <c r="G305" s="77"/>
      <c r="H305" s="77"/>
      <c r="I305" s="137">
        <f t="shared" si="9"/>
        <v>0.9720093983042191</v>
      </c>
    </row>
    <row r="306" spans="1:9" s="7" customFormat="1" ht="18.75" customHeight="1">
      <c r="A306" s="68"/>
      <c r="B306" s="68"/>
      <c r="C306" s="76" t="s">
        <v>177</v>
      </c>
      <c r="D306" s="77">
        <v>682000</v>
      </c>
      <c r="E306" s="77">
        <v>597600</v>
      </c>
      <c r="F306" s="77">
        <v>597600</v>
      </c>
      <c r="G306" s="77"/>
      <c r="H306" s="77"/>
      <c r="I306" s="137">
        <f t="shared" si="9"/>
        <v>0.8762463343108504</v>
      </c>
    </row>
    <row r="307" spans="1:9" s="7" customFormat="1" ht="18.75" customHeight="1">
      <c r="A307" s="68"/>
      <c r="B307" s="72"/>
      <c r="C307" s="72" t="s">
        <v>269</v>
      </c>
      <c r="D307" s="73">
        <v>20900</v>
      </c>
      <c r="E307" s="73">
        <v>6000</v>
      </c>
      <c r="F307" s="73">
        <v>6000</v>
      </c>
      <c r="G307" s="73"/>
      <c r="H307" s="73"/>
      <c r="I307" s="138">
        <f>E307/D307</f>
        <v>0.28708133971291866</v>
      </c>
    </row>
    <row r="308" spans="1:9" s="43" customFormat="1" ht="29.25" customHeight="1">
      <c r="A308" s="54"/>
      <c r="B308" s="118">
        <v>85406</v>
      </c>
      <c r="C308" s="84" t="s">
        <v>212</v>
      </c>
      <c r="D308" s="75">
        <f>SUM(D309:D311)</f>
        <v>5130594</v>
      </c>
      <c r="E308" s="75">
        <f>SUM(E309:E311)</f>
        <v>5769000</v>
      </c>
      <c r="F308" s="75">
        <f>SUM(F309:F311)</f>
        <v>5769000</v>
      </c>
      <c r="G308" s="75"/>
      <c r="H308" s="75"/>
      <c r="I308" s="139">
        <f t="shared" si="9"/>
        <v>1.1244312062112107</v>
      </c>
    </row>
    <row r="309" spans="1:9" s="7" customFormat="1" ht="18.75" customHeight="1">
      <c r="A309" s="68"/>
      <c r="B309" s="68"/>
      <c r="C309" s="70" t="s">
        <v>326</v>
      </c>
      <c r="D309" s="71">
        <f>3824000-3000+59000+1000</f>
        <v>3881000</v>
      </c>
      <c r="E309" s="71">
        <v>4368200</v>
      </c>
      <c r="F309" s="71">
        <v>4368200</v>
      </c>
      <c r="G309" s="71"/>
      <c r="H309" s="71"/>
      <c r="I309" s="136">
        <f t="shared" si="9"/>
        <v>1.1255346560164905</v>
      </c>
    </row>
    <row r="310" spans="1:9" s="7" customFormat="1" ht="18.75" customHeight="1">
      <c r="A310" s="68"/>
      <c r="B310" s="68"/>
      <c r="C310" s="78" t="s">
        <v>44</v>
      </c>
      <c r="D310" s="77">
        <f>547094-44500</f>
        <v>502594</v>
      </c>
      <c r="E310" s="77">
        <v>560000</v>
      </c>
      <c r="F310" s="77">
        <v>560000</v>
      </c>
      <c r="G310" s="77"/>
      <c r="H310" s="77"/>
      <c r="I310" s="137">
        <f t="shared" si="9"/>
        <v>1.1142194295992391</v>
      </c>
    </row>
    <row r="311" spans="1:9" s="7" customFormat="1" ht="18.75" customHeight="1">
      <c r="A311" s="68"/>
      <c r="B311" s="72"/>
      <c r="C311" s="82" t="s">
        <v>45</v>
      </c>
      <c r="D311" s="64">
        <f>752000-11200+6200</f>
        <v>747000</v>
      </c>
      <c r="E311" s="64">
        <v>840800</v>
      </c>
      <c r="F311" s="64">
        <v>840800</v>
      </c>
      <c r="G311" s="64"/>
      <c r="H311" s="64"/>
      <c r="I311" s="141">
        <f t="shared" si="9"/>
        <v>1.1255689424364124</v>
      </c>
    </row>
    <row r="312" spans="1:9" s="43" customFormat="1" ht="19.5" customHeight="1">
      <c r="A312" s="54"/>
      <c r="B312" s="74">
        <v>85407</v>
      </c>
      <c r="C312" s="74" t="s">
        <v>65</v>
      </c>
      <c r="D312" s="75">
        <f>SUM(D313:D315)</f>
        <v>2209824</v>
      </c>
      <c r="E312" s="75">
        <f>SUM(E313:E315)</f>
        <v>2414000</v>
      </c>
      <c r="F312" s="75">
        <f>SUM(F313:F315)</f>
        <v>2414000</v>
      </c>
      <c r="G312" s="75"/>
      <c r="H312" s="75"/>
      <c r="I312" s="139">
        <f t="shared" si="9"/>
        <v>1.0923946884457767</v>
      </c>
    </row>
    <row r="313" spans="1:9" s="7" customFormat="1" ht="18.75" customHeight="1">
      <c r="A313" s="68"/>
      <c r="B313" s="68"/>
      <c r="C313" s="70" t="s">
        <v>326</v>
      </c>
      <c r="D313" s="71">
        <f>1581000+21700+300</f>
        <v>1603000</v>
      </c>
      <c r="E313" s="71">
        <v>1753800</v>
      </c>
      <c r="F313" s="71">
        <v>1753800</v>
      </c>
      <c r="G313" s="71"/>
      <c r="H313" s="71"/>
      <c r="I313" s="136">
        <f t="shared" si="9"/>
        <v>1.094073611977542</v>
      </c>
    </row>
    <row r="314" spans="1:9" s="7" customFormat="1" ht="18.75" customHeight="1">
      <c r="A314" s="68"/>
      <c r="B314" s="68"/>
      <c r="C314" s="97" t="s">
        <v>44</v>
      </c>
      <c r="D314" s="60">
        <f>310000+5000-11500</f>
        <v>303500</v>
      </c>
      <c r="E314" s="60">
        <v>320000</v>
      </c>
      <c r="F314" s="60">
        <v>320000</v>
      </c>
      <c r="G314" s="60"/>
      <c r="H314" s="60"/>
      <c r="I314" s="134">
        <f t="shared" si="9"/>
        <v>1.0543657331136738</v>
      </c>
    </row>
    <row r="315" spans="1:9" s="7" customFormat="1" ht="18.75" customHeight="1">
      <c r="A315" s="68"/>
      <c r="B315" s="72"/>
      <c r="C315" s="82" t="s">
        <v>45</v>
      </c>
      <c r="D315" s="64">
        <f>322000-18676</f>
        <v>303324</v>
      </c>
      <c r="E315" s="64">
        <v>340200</v>
      </c>
      <c r="F315" s="64">
        <v>340200</v>
      </c>
      <c r="G315" s="64"/>
      <c r="H315" s="64"/>
      <c r="I315" s="141">
        <f t="shared" si="9"/>
        <v>1.1215729714760454</v>
      </c>
    </row>
    <row r="316" spans="1:9" s="43" customFormat="1" ht="19.5" customHeight="1">
      <c r="A316" s="54"/>
      <c r="B316" s="74">
        <v>85410</v>
      </c>
      <c r="C316" s="74" t="s">
        <v>66</v>
      </c>
      <c r="D316" s="75">
        <f>SUM(D317:D320)</f>
        <v>6650565</v>
      </c>
      <c r="E316" s="75">
        <f>SUM(E317:E320)</f>
        <v>6686000</v>
      </c>
      <c r="F316" s="75">
        <f>SUM(F317:F320)</f>
        <v>6686000</v>
      </c>
      <c r="G316" s="75">
        <f>SUM(G317:G320)</f>
        <v>100000</v>
      </c>
      <c r="H316" s="75"/>
      <c r="I316" s="139">
        <f t="shared" si="9"/>
        <v>1.005328118738784</v>
      </c>
    </row>
    <row r="317" spans="1:9" s="7" customFormat="1" ht="19.5" customHeight="1">
      <c r="A317" s="68"/>
      <c r="B317" s="68"/>
      <c r="C317" s="70" t="s">
        <v>326</v>
      </c>
      <c r="D317" s="71">
        <f>3993900-11500+55000+5000</f>
        <v>4042400</v>
      </c>
      <c r="E317" s="71">
        <v>3924800</v>
      </c>
      <c r="F317" s="71">
        <v>3924800</v>
      </c>
      <c r="G317" s="71"/>
      <c r="H317" s="71"/>
      <c r="I317" s="136">
        <f t="shared" si="9"/>
        <v>0.9709083712645953</v>
      </c>
    </row>
    <row r="318" spans="1:9" s="7" customFormat="1" ht="19.5" customHeight="1">
      <c r="A318" s="68"/>
      <c r="B318" s="68"/>
      <c r="C318" s="78" t="s">
        <v>44</v>
      </c>
      <c r="D318" s="77">
        <f>1315600-24200</f>
        <v>1291400</v>
      </c>
      <c r="E318" s="77">
        <v>1400000</v>
      </c>
      <c r="F318" s="77">
        <v>1400000</v>
      </c>
      <c r="G318" s="77">
        <v>100000</v>
      </c>
      <c r="H318" s="77"/>
      <c r="I318" s="137">
        <f t="shared" si="9"/>
        <v>1.0840947808579835</v>
      </c>
    </row>
    <row r="319" spans="1:9" s="7" customFormat="1" ht="19.5" customHeight="1">
      <c r="A319" s="68"/>
      <c r="B319" s="68"/>
      <c r="C319" s="97" t="s">
        <v>45</v>
      </c>
      <c r="D319" s="60">
        <f>782100-5500+1700</f>
        <v>778300</v>
      </c>
      <c r="E319" s="60">
        <v>758800</v>
      </c>
      <c r="F319" s="60">
        <v>758800</v>
      </c>
      <c r="G319" s="60"/>
      <c r="H319" s="60"/>
      <c r="I319" s="134">
        <f t="shared" si="9"/>
        <v>0.9749453938070153</v>
      </c>
    </row>
    <row r="320" spans="1:9" s="7" customFormat="1" ht="19.5" customHeight="1">
      <c r="A320" s="68"/>
      <c r="B320" s="68"/>
      <c r="C320" s="78" t="s">
        <v>171</v>
      </c>
      <c r="D320" s="77">
        <f>536933+1532</f>
        <v>538465</v>
      </c>
      <c r="E320" s="77">
        <v>602400</v>
      </c>
      <c r="F320" s="77">
        <v>602400</v>
      </c>
      <c r="G320" s="77"/>
      <c r="H320" s="77"/>
      <c r="I320" s="137">
        <f t="shared" si="9"/>
        <v>1.1187356652707232</v>
      </c>
    </row>
    <row r="321" spans="1:9" s="43" customFormat="1" ht="29.25" customHeight="1">
      <c r="A321" s="54"/>
      <c r="B321" s="90">
        <v>85412</v>
      </c>
      <c r="C321" s="91" t="s">
        <v>249</v>
      </c>
      <c r="D321" s="56">
        <f>D322</f>
        <v>140000</v>
      </c>
      <c r="E321" s="56">
        <f>SUM(E322:E322)</f>
        <v>150000</v>
      </c>
      <c r="F321" s="56">
        <f>SUM(F322:F322)</f>
        <v>150000</v>
      </c>
      <c r="G321" s="56"/>
      <c r="H321" s="56"/>
      <c r="I321" s="130">
        <f t="shared" si="9"/>
        <v>1.0714285714285714</v>
      </c>
    </row>
    <row r="322" spans="1:9" s="7" customFormat="1" ht="27.75" customHeight="1">
      <c r="A322" s="68"/>
      <c r="B322" s="86"/>
      <c r="C322" s="87" t="s">
        <v>323</v>
      </c>
      <c r="D322" s="88">
        <v>140000</v>
      </c>
      <c r="E322" s="88">
        <v>150000</v>
      </c>
      <c r="F322" s="88">
        <v>150000</v>
      </c>
      <c r="G322" s="88"/>
      <c r="H322" s="88"/>
      <c r="I322" s="131">
        <f>E322/D322</f>
        <v>1.0714285714285714</v>
      </c>
    </row>
    <row r="323" spans="1:9" s="43" customFormat="1" ht="19.5" customHeight="1">
      <c r="A323" s="54"/>
      <c r="B323" s="74">
        <v>85415</v>
      </c>
      <c r="C323" s="74" t="s">
        <v>128</v>
      </c>
      <c r="D323" s="75">
        <f>SUM(D324:D326)</f>
        <v>1235503</v>
      </c>
      <c r="E323" s="75">
        <f>SUM(E324:E326)</f>
        <v>850000</v>
      </c>
      <c r="F323" s="75">
        <f>SUM(F324:F326)</f>
        <v>850000</v>
      </c>
      <c r="G323" s="75"/>
      <c r="H323" s="75"/>
      <c r="I323" s="139">
        <f t="shared" si="9"/>
        <v>0.6879789041386383</v>
      </c>
    </row>
    <row r="324" spans="1:9" s="7" customFormat="1" ht="18.75" customHeight="1">
      <c r="A324" s="68"/>
      <c r="B324" s="68"/>
      <c r="C324" s="76" t="s">
        <v>142</v>
      </c>
      <c r="D324" s="77">
        <v>337589</v>
      </c>
      <c r="E324" s="77">
        <v>450000</v>
      </c>
      <c r="F324" s="77">
        <v>450000</v>
      </c>
      <c r="G324" s="77"/>
      <c r="H324" s="77"/>
      <c r="I324" s="137">
        <f t="shared" si="9"/>
        <v>1.332981821090142</v>
      </c>
    </row>
    <row r="325" spans="1:9" s="7" customFormat="1" ht="18.75" customHeight="1">
      <c r="A325" s="68"/>
      <c r="B325" s="68"/>
      <c r="C325" s="76" t="s">
        <v>219</v>
      </c>
      <c r="D325" s="77">
        <v>350000</v>
      </c>
      <c r="E325" s="77">
        <v>400000</v>
      </c>
      <c r="F325" s="77">
        <v>400000</v>
      </c>
      <c r="G325" s="77"/>
      <c r="H325" s="77"/>
      <c r="I325" s="137">
        <f>E325/D325</f>
        <v>1.1428571428571428</v>
      </c>
    </row>
    <row r="326" spans="1:9" s="7" customFormat="1" ht="18.75" customHeight="1">
      <c r="A326" s="72"/>
      <c r="B326" s="72"/>
      <c r="C326" s="72" t="s">
        <v>176</v>
      </c>
      <c r="D326" s="73">
        <v>547914</v>
      </c>
      <c r="E326" s="73"/>
      <c r="F326" s="73"/>
      <c r="G326" s="73"/>
      <c r="H326" s="73"/>
      <c r="I326" s="138"/>
    </row>
    <row r="327" spans="1:9" s="43" customFormat="1" ht="19.5" customHeight="1">
      <c r="A327" s="54"/>
      <c r="B327" s="74">
        <v>85417</v>
      </c>
      <c r="C327" s="74" t="s">
        <v>149</v>
      </c>
      <c r="D327" s="75">
        <f>SUM(D328:D330)</f>
        <v>260000</v>
      </c>
      <c r="E327" s="75">
        <f>SUM(E328:E330)</f>
        <v>250000</v>
      </c>
      <c r="F327" s="75">
        <f>SUM(F328:F330)</f>
        <v>250000</v>
      </c>
      <c r="G327" s="75"/>
      <c r="H327" s="75"/>
      <c r="I327" s="139">
        <f t="shared" si="9"/>
        <v>0.9615384615384616</v>
      </c>
    </row>
    <row r="328" spans="1:9" s="7" customFormat="1" ht="18.75" customHeight="1">
      <c r="A328" s="68"/>
      <c r="B328" s="68"/>
      <c r="C328" s="70" t="s">
        <v>326</v>
      </c>
      <c r="D328" s="71">
        <f>166000</f>
        <v>166000</v>
      </c>
      <c r="E328" s="71">
        <v>157300</v>
      </c>
      <c r="F328" s="71">
        <v>157300</v>
      </c>
      <c r="G328" s="71"/>
      <c r="H328" s="71"/>
      <c r="I328" s="136">
        <f t="shared" si="9"/>
        <v>0.9475903614457831</v>
      </c>
    </row>
    <row r="329" spans="1:9" s="7" customFormat="1" ht="18.75" customHeight="1">
      <c r="A329" s="68"/>
      <c r="B329" s="68"/>
      <c r="C329" s="78" t="s">
        <v>44</v>
      </c>
      <c r="D329" s="77">
        <f>64000-2000</f>
        <v>62000</v>
      </c>
      <c r="E329" s="77">
        <v>62000</v>
      </c>
      <c r="F329" s="77">
        <v>62000</v>
      </c>
      <c r="G329" s="77"/>
      <c r="H329" s="77"/>
      <c r="I329" s="137">
        <f t="shared" si="9"/>
        <v>1</v>
      </c>
    </row>
    <row r="330" spans="1:9" s="7" customFormat="1" ht="18.75" customHeight="1">
      <c r="A330" s="68"/>
      <c r="B330" s="72"/>
      <c r="C330" s="72" t="s">
        <v>45</v>
      </c>
      <c r="D330" s="73">
        <f>33000-1000</f>
        <v>32000</v>
      </c>
      <c r="E330" s="73">
        <v>30700</v>
      </c>
      <c r="F330" s="73">
        <v>30700</v>
      </c>
      <c r="G330" s="73"/>
      <c r="H330" s="73"/>
      <c r="I330" s="138">
        <f t="shared" si="9"/>
        <v>0.959375</v>
      </c>
    </row>
    <row r="331" spans="1:9" s="43" customFormat="1" ht="19.5" customHeight="1">
      <c r="A331" s="54"/>
      <c r="B331" s="74">
        <v>85421</v>
      </c>
      <c r="C331" s="74" t="s">
        <v>213</v>
      </c>
      <c r="D331" s="75">
        <f>SUM(D332:D334)</f>
        <v>484200</v>
      </c>
      <c r="E331" s="75">
        <f>SUM(E332:E334)</f>
        <v>522000</v>
      </c>
      <c r="F331" s="75">
        <f>SUM(F332:F334)</f>
        <v>522000</v>
      </c>
      <c r="G331" s="75"/>
      <c r="H331" s="75"/>
      <c r="I331" s="139">
        <f t="shared" si="9"/>
        <v>1.0780669144981412</v>
      </c>
    </row>
    <row r="332" spans="1:9" s="7" customFormat="1" ht="18.75" customHeight="1">
      <c r="A332" s="68"/>
      <c r="B332" s="68"/>
      <c r="C332" s="70" t="s">
        <v>326</v>
      </c>
      <c r="D332" s="71">
        <f>366500-8800</f>
        <v>357700</v>
      </c>
      <c r="E332" s="71">
        <v>391600</v>
      </c>
      <c r="F332" s="71">
        <v>391600</v>
      </c>
      <c r="G332" s="71"/>
      <c r="H332" s="71"/>
      <c r="I332" s="136">
        <f t="shared" si="9"/>
        <v>1.0947721554375174</v>
      </c>
    </row>
    <row r="333" spans="1:9" s="7" customFormat="1" ht="18.75" customHeight="1">
      <c r="A333" s="68"/>
      <c r="B333" s="68"/>
      <c r="C333" s="78" t="s">
        <v>44</v>
      </c>
      <c r="D333" s="77">
        <v>53000</v>
      </c>
      <c r="E333" s="77">
        <v>55000</v>
      </c>
      <c r="F333" s="77">
        <v>55000</v>
      </c>
      <c r="G333" s="77"/>
      <c r="H333" s="77"/>
      <c r="I333" s="137">
        <f t="shared" si="9"/>
        <v>1.0377358490566038</v>
      </c>
    </row>
    <row r="334" spans="1:9" s="7" customFormat="1" ht="18.75" customHeight="1">
      <c r="A334" s="68"/>
      <c r="B334" s="72"/>
      <c r="C334" s="72" t="s">
        <v>45</v>
      </c>
      <c r="D334" s="73">
        <v>73500</v>
      </c>
      <c r="E334" s="73">
        <v>75400</v>
      </c>
      <c r="F334" s="73">
        <v>75400</v>
      </c>
      <c r="G334" s="73"/>
      <c r="H334" s="73"/>
      <c r="I334" s="138">
        <f t="shared" si="9"/>
        <v>1.0258503401360544</v>
      </c>
    </row>
    <row r="335" spans="1:9" s="43" customFormat="1" ht="19.5" customHeight="1">
      <c r="A335" s="54"/>
      <c r="B335" s="74">
        <v>85446</v>
      </c>
      <c r="C335" s="74" t="s">
        <v>187</v>
      </c>
      <c r="D335" s="75">
        <f>D336</f>
        <v>148000</v>
      </c>
      <c r="E335" s="75">
        <f>E336</f>
        <v>150000</v>
      </c>
      <c r="F335" s="75">
        <f>F336</f>
        <v>150000</v>
      </c>
      <c r="G335" s="75"/>
      <c r="H335" s="75"/>
      <c r="I335" s="139">
        <f t="shared" si="9"/>
        <v>1.0135135135135136</v>
      </c>
    </row>
    <row r="336" spans="1:9" s="7" customFormat="1" ht="18.75" customHeight="1">
      <c r="A336" s="68"/>
      <c r="B336" s="69"/>
      <c r="C336" s="196" t="s">
        <v>188</v>
      </c>
      <c r="D336" s="197">
        <v>148000</v>
      </c>
      <c r="E336" s="197">
        <v>150000</v>
      </c>
      <c r="F336" s="197">
        <v>150000</v>
      </c>
      <c r="G336" s="197"/>
      <c r="H336" s="197"/>
      <c r="I336" s="198">
        <f t="shared" si="9"/>
        <v>1.0135135135135136</v>
      </c>
    </row>
    <row r="337" spans="1:9" s="7" customFormat="1" ht="18" customHeight="1">
      <c r="A337" s="68"/>
      <c r="B337" s="72"/>
      <c r="C337" s="85" t="s">
        <v>332</v>
      </c>
      <c r="D337" s="73">
        <v>48774</v>
      </c>
      <c r="E337" s="73">
        <v>30000</v>
      </c>
      <c r="F337" s="73">
        <v>30000</v>
      </c>
      <c r="G337" s="73"/>
      <c r="H337" s="73"/>
      <c r="I337" s="138">
        <f>E337/D337</f>
        <v>0.615081805880182</v>
      </c>
    </row>
    <row r="338" spans="1:9" s="43" customFormat="1" ht="19.5" customHeight="1">
      <c r="A338" s="54"/>
      <c r="B338" s="74">
        <v>85495</v>
      </c>
      <c r="C338" s="74" t="s">
        <v>4</v>
      </c>
      <c r="D338" s="75">
        <f>D339+D343+D344+D345</f>
        <v>6224931</v>
      </c>
      <c r="E338" s="75">
        <f>E339+E343+E344+E345</f>
        <v>6026000</v>
      </c>
      <c r="F338" s="75">
        <f>F339+F343+F344+F345</f>
        <v>6026000</v>
      </c>
      <c r="G338" s="75"/>
      <c r="H338" s="75"/>
      <c r="I338" s="139">
        <f t="shared" si="9"/>
        <v>0.9680428586276699</v>
      </c>
    </row>
    <row r="339" spans="1:9" s="7" customFormat="1" ht="19.5" customHeight="1">
      <c r="A339" s="68"/>
      <c r="B339" s="68"/>
      <c r="C339" s="168" t="s">
        <v>228</v>
      </c>
      <c r="D339" s="161">
        <f>SUM(D340:D342)</f>
        <v>6036923</v>
      </c>
      <c r="E339" s="161">
        <f>SUM(E340:E342)</f>
        <v>5819000</v>
      </c>
      <c r="F339" s="161">
        <f>SUM(F340:F342)</f>
        <v>5819000</v>
      </c>
      <c r="G339" s="161"/>
      <c r="H339" s="161"/>
      <c r="I339" s="163">
        <f t="shared" si="9"/>
        <v>0.963901643270918</v>
      </c>
    </row>
    <row r="340" spans="1:9" s="7" customFormat="1" ht="18.75" customHeight="1">
      <c r="A340" s="68"/>
      <c r="B340" s="68"/>
      <c r="C340" s="169" t="s">
        <v>326</v>
      </c>
      <c r="D340" s="170">
        <f>3993130-95000</f>
        <v>3898130</v>
      </c>
      <c r="E340" s="170">
        <v>3712800</v>
      </c>
      <c r="F340" s="170">
        <v>3712800</v>
      </c>
      <c r="G340" s="170"/>
      <c r="H340" s="170"/>
      <c r="I340" s="171">
        <f t="shared" si="9"/>
        <v>0.952456690772242</v>
      </c>
    </row>
    <row r="341" spans="1:9" s="7" customFormat="1" ht="18.75" customHeight="1">
      <c r="A341" s="68"/>
      <c r="B341" s="68"/>
      <c r="C341" s="78" t="s">
        <v>44</v>
      </c>
      <c r="D341" s="77">
        <f>1372226-13000+18000+7000</f>
        <v>1384226</v>
      </c>
      <c r="E341" s="77">
        <v>1400000</v>
      </c>
      <c r="F341" s="77">
        <v>1400000</v>
      </c>
      <c r="G341" s="77"/>
      <c r="H341" s="77"/>
      <c r="I341" s="137">
        <f t="shared" si="9"/>
        <v>1.0113955380118564</v>
      </c>
    </row>
    <row r="342" spans="1:9" s="7" customFormat="1" ht="18.75" customHeight="1">
      <c r="A342" s="68"/>
      <c r="B342" s="68"/>
      <c r="C342" s="78" t="s">
        <v>45</v>
      </c>
      <c r="D342" s="77">
        <v>754567</v>
      </c>
      <c r="E342" s="77">
        <v>706200</v>
      </c>
      <c r="F342" s="77">
        <v>706200</v>
      </c>
      <c r="G342" s="77"/>
      <c r="H342" s="77"/>
      <c r="I342" s="137">
        <f t="shared" si="9"/>
        <v>0.9359009869236264</v>
      </c>
    </row>
    <row r="343" spans="1:9" s="7" customFormat="1" ht="18.75" customHeight="1">
      <c r="A343" s="68"/>
      <c r="B343" s="68"/>
      <c r="C343" s="172" t="s">
        <v>123</v>
      </c>
      <c r="D343" s="173">
        <v>2000</v>
      </c>
      <c r="E343" s="173">
        <v>2000</v>
      </c>
      <c r="F343" s="173">
        <v>2000</v>
      </c>
      <c r="G343" s="173"/>
      <c r="H343" s="173"/>
      <c r="I343" s="174">
        <f t="shared" si="9"/>
        <v>1</v>
      </c>
    </row>
    <row r="344" spans="1:9" s="7" customFormat="1" ht="18.75" customHeight="1">
      <c r="A344" s="68"/>
      <c r="B344" s="68"/>
      <c r="C344" s="175" t="s">
        <v>114</v>
      </c>
      <c r="D344" s="176">
        <v>1000</v>
      </c>
      <c r="E344" s="176">
        <v>5000</v>
      </c>
      <c r="F344" s="176">
        <v>5000</v>
      </c>
      <c r="G344" s="176"/>
      <c r="H344" s="176"/>
      <c r="I344" s="177">
        <f>E344/D344</f>
        <v>5</v>
      </c>
    </row>
    <row r="345" spans="1:9" s="7" customFormat="1" ht="27.75" customHeight="1">
      <c r="A345" s="68"/>
      <c r="B345" s="72"/>
      <c r="C345" s="85" t="s">
        <v>248</v>
      </c>
      <c r="D345" s="73">
        <v>185008</v>
      </c>
      <c r="E345" s="73">
        <v>200000</v>
      </c>
      <c r="F345" s="73">
        <v>200000</v>
      </c>
      <c r="G345" s="73"/>
      <c r="H345" s="73"/>
      <c r="I345" s="138">
        <f t="shared" si="9"/>
        <v>1.0810343336504367</v>
      </c>
    </row>
    <row r="346" spans="1:9" s="43" customFormat="1" ht="19.5" customHeight="1">
      <c r="A346" s="54"/>
      <c r="B346" s="74">
        <v>85497</v>
      </c>
      <c r="C346" s="74" t="s">
        <v>67</v>
      </c>
      <c r="D346" s="75">
        <f>D347</f>
        <v>33000</v>
      </c>
      <c r="E346" s="75">
        <f>SUM(E347:E347)</f>
        <v>33000</v>
      </c>
      <c r="F346" s="75">
        <f>SUM(F347:F347)</f>
        <v>33000</v>
      </c>
      <c r="G346" s="75"/>
      <c r="H346" s="75"/>
      <c r="I346" s="139">
        <f t="shared" si="9"/>
        <v>1</v>
      </c>
    </row>
    <row r="347" spans="1:9" s="7" customFormat="1" ht="27.75" customHeight="1">
      <c r="A347" s="72"/>
      <c r="B347" s="72"/>
      <c r="C347" s="87" t="s">
        <v>122</v>
      </c>
      <c r="D347" s="88">
        <v>33000</v>
      </c>
      <c r="E347" s="88">
        <v>33000</v>
      </c>
      <c r="F347" s="88">
        <v>33000</v>
      </c>
      <c r="G347" s="88"/>
      <c r="H347" s="88"/>
      <c r="I347" s="131">
        <f t="shared" si="9"/>
        <v>1</v>
      </c>
    </row>
    <row r="348" spans="1:9" s="7" customFormat="1" ht="19.5" customHeight="1">
      <c r="A348" s="51">
        <v>900</v>
      </c>
      <c r="B348" s="51"/>
      <c r="C348" s="51" t="s">
        <v>68</v>
      </c>
      <c r="D348" s="52">
        <f>D349+D362+D368+D373+D375+D379+D358</f>
        <v>41342563</v>
      </c>
      <c r="E348" s="52">
        <f>E349+E362+E368+E373+E375+E379+E358</f>
        <v>44643000</v>
      </c>
      <c r="F348" s="52">
        <f>F349+F362+F368+F373+F375+F379+F358</f>
        <v>25993000</v>
      </c>
      <c r="G348" s="52">
        <f>G349+G362+G368+G373+G375+G379+G358</f>
        <v>170000</v>
      </c>
      <c r="H348" s="52">
        <f>H349+H362+H368+H373+H375+H379+H358</f>
        <v>18650000</v>
      </c>
      <c r="I348" s="129">
        <f t="shared" si="9"/>
        <v>1.0798314560226951</v>
      </c>
    </row>
    <row r="349" spans="1:9" s="43" customFormat="1" ht="19.5" customHeight="1">
      <c r="A349" s="54"/>
      <c r="B349" s="55">
        <v>90001</v>
      </c>
      <c r="C349" s="55" t="s">
        <v>69</v>
      </c>
      <c r="D349" s="56">
        <f>SUM(D350:D357)</f>
        <v>7162158</v>
      </c>
      <c r="E349" s="56">
        <f>SUM(E350:E357)</f>
        <v>5434000</v>
      </c>
      <c r="F349" s="56">
        <f>SUM(F350:F357)</f>
        <v>2384000</v>
      </c>
      <c r="G349" s="56">
        <f>SUM(G350:G357)</f>
        <v>100000</v>
      </c>
      <c r="H349" s="56">
        <f>SUM(H350:H357)</f>
        <v>3050000</v>
      </c>
      <c r="I349" s="130">
        <f t="shared" si="9"/>
        <v>0.7587098748729084</v>
      </c>
    </row>
    <row r="350" spans="1:9" s="7" customFormat="1" ht="18.75" customHeight="1">
      <c r="A350" s="68"/>
      <c r="B350" s="68"/>
      <c r="C350" s="89" t="s">
        <v>104</v>
      </c>
      <c r="D350" s="71">
        <v>1601000</v>
      </c>
      <c r="E350" s="71">
        <v>1750000</v>
      </c>
      <c r="F350" s="71">
        <v>1750000</v>
      </c>
      <c r="G350" s="71">
        <v>100000</v>
      </c>
      <c r="H350" s="71"/>
      <c r="I350" s="136">
        <f t="shared" si="9"/>
        <v>1.0930668332292317</v>
      </c>
    </row>
    <row r="351" spans="1:9" s="45" customFormat="1" ht="27.75" customHeight="1">
      <c r="A351" s="68"/>
      <c r="B351" s="68"/>
      <c r="C351" s="76" t="s">
        <v>190</v>
      </c>
      <c r="D351" s="77">
        <v>220000</v>
      </c>
      <c r="E351" s="77">
        <v>250000</v>
      </c>
      <c r="F351" s="77">
        <v>250000</v>
      </c>
      <c r="G351" s="77"/>
      <c r="H351" s="77"/>
      <c r="I351" s="137">
        <f t="shared" si="9"/>
        <v>1.1363636363636365</v>
      </c>
    </row>
    <row r="352" spans="1:9" s="7" customFormat="1" ht="18.75" customHeight="1">
      <c r="A352" s="68"/>
      <c r="B352" s="68"/>
      <c r="C352" s="78" t="s">
        <v>205</v>
      </c>
      <c r="D352" s="77">
        <v>80000</v>
      </c>
      <c r="E352" s="77">
        <v>60000</v>
      </c>
      <c r="F352" s="77">
        <v>60000</v>
      </c>
      <c r="G352" s="77"/>
      <c r="H352" s="77"/>
      <c r="I352" s="137">
        <f>E352/D352</f>
        <v>0.75</v>
      </c>
    </row>
    <row r="353" spans="1:9" s="7" customFormat="1" ht="18.75" customHeight="1">
      <c r="A353" s="68"/>
      <c r="B353" s="68"/>
      <c r="C353" s="78" t="s">
        <v>105</v>
      </c>
      <c r="D353" s="77">
        <v>150000</v>
      </c>
      <c r="E353" s="77">
        <v>150000</v>
      </c>
      <c r="F353" s="77">
        <v>150000</v>
      </c>
      <c r="G353" s="77"/>
      <c r="H353" s="77"/>
      <c r="I353" s="137">
        <f>E353/D353</f>
        <v>1</v>
      </c>
    </row>
    <row r="354" spans="1:9" s="45" customFormat="1" ht="18.75" customHeight="1">
      <c r="A354" s="68"/>
      <c r="B354" s="68"/>
      <c r="C354" s="78" t="s">
        <v>216</v>
      </c>
      <c r="D354" s="77">
        <v>56000</v>
      </c>
      <c r="E354" s="77">
        <v>79000</v>
      </c>
      <c r="F354" s="77">
        <v>79000</v>
      </c>
      <c r="G354" s="77"/>
      <c r="H354" s="77"/>
      <c r="I354" s="137">
        <f t="shared" si="9"/>
        <v>1.4107142857142858</v>
      </c>
    </row>
    <row r="355" spans="1:9" s="7" customFormat="1" ht="18.75" customHeight="1">
      <c r="A355" s="68"/>
      <c r="B355" s="68"/>
      <c r="C355" s="78" t="s">
        <v>194</v>
      </c>
      <c r="D355" s="77">
        <v>70161</v>
      </c>
      <c r="E355" s="77">
        <v>75000</v>
      </c>
      <c r="F355" s="77">
        <v>75000</v>
      </c>
      <c r="G355" s="77"/>
      <c r="H355" s="77"/>
      <c r="I355" s="137">
        <f t="shared" si="9"/>
        <v>1.0689699405652713</v>
      </c>
    </row>
    <row r="356" spans="1:9" s="45" customFormat="1" ht="18.75" customHeight="1">
      <c r="A356" s="68"/>
      <c r="B356" s="68"/>
      <c r="C356" s="78" t="s">
        <v>267</v>
      </c>
      <c r="D356" s="77">
        <v>25000</v>
      </c>
      <c r="E356" s="77">
        <v>20000</v>
      </c>
      <c r="F356" s="77">
        <v>20000</v>
      </c>
      <c r="G356" s="77"/>
      <c r="H356" s="77"/>
      <c r="I356" s="137">
        <f>E356/D356</f>
        <v>0.8</v>
      </c>
    </row>
    <row r="357" spans="1:9" s="7" customFormat="1" ht="18.75" customHeight="1">
      <c r="A357" s="72"/>
      <c r="B357" s="72"/>
      <c r="C357" s="72" t="s">
        <v>6</v>
      </c>
      <c r="D357" s="73">
        <v>4959997</v>
      </c>
      <c r="E357" s="73">
        <v>3050000</v>
      </c>
      <c r="F357" s="73"/>
      <c r="G357" s="73"/>
      <c r="H357" s="73">
        <v>3050000</v>
      </c>
      <c r="I357" s="138">
        <f aca="true" t="shared" si="10" ref="I357:I421">E357/D357</f>
        <v>0.6149197267659637</v>
      </c>
    </row>
    <row r="358" spans="1:9" s="43" customFormat="1" ht="19.5" customHeight="1">
      <c r="A358" s="54"/>
      <c r="B358" s="74">
        <v>90002</v>
      </c>
      <c r="C358" s="74" t="s">
        <v>245</v>
      </c>
      <c r="D358" s="75">
        <f>SUM(D359:D361)</f>
        <v>6013128</v>
      </c>
      <c r="E358" s="75">
        <f>SUM(E359:E361)</f>
        <v>13130000</v>
      </c>
      <c r="F358" s="75">
        <f>SUM(F359:F361)</f>
        <v>5530000</v>
      </c>
      <c r="G358" s="75"/>
      <c r="H358" s="75">
        <f>SUM(H359:H361)</f>
        <v>7600000</v>
      </c>
      <c r="I358" s="139">
        <f t="shared" si="10"/>
        <v>2.1835557134323436</v>
      </c>
    </row>
    <row r="359" spans="1:9" s="7" customFormat="1" ht="18.75" customHeight="1">
      <c r="A359" s="68"/>
      <c r="B359" s="68"/>
      <c r="C359" s="78" t="s">
        <v>106</v>
      </c>
      <c r="D359" s="77">
        <v>4224000</v>
      </c>
      <c r="E359" s="77">
        <v>3800000</v>
      </c>
      <c r="F359" s="77">
        <v>3800000</v>
      </c>
      <c r="G359" s="71"/>
      <c r="H359" s="71"/>
      <c r="I359" s="136">
        <f t="shared" si="10"/>
        <v>0.8996212121212122</v>
      </c>
    </row>
    <row r="360" spans="1:9" s="7" customFormat="1" ht="18.75" customHeight="1">
      <c r="A360" s="68"/>
      <c r="B360" s="68"/>
      <c r="C360" s="78" t="s">
        <v>194</v>
      </c>
      <c r="D360" s="77">
        <v>1676000</v>
      </c>
      <c r="E360" s="77">
        <v>1730000</v>
      </c>
      <c r="F360" s="77">
        <v>1730000</v>
      </c>
      <c r="G360" s="77"/>
      <c r="H360" s="77"/>
      <c r="I360" s="137">
        <f t="shared" si="10"/>
        <v>1.032219570405728</v>
      </c>
    </row>
    <row r="361" spans="1:9" s="7" customFormat="1" ht="18.75" customHeight="1">
      <c r="A361" s="68"/>
      <c r="B361" s="72"/>
      <c r="C361" s="72" t="s">
        <v>6</v>
      </c>
      <c r="D361" s="73">
        <v>113128</v>
      </c>
      <c r="E361" s="73">
        <v>7600000</v>
      </c>
      <c r="F361" s="73"/>
      <c r="G361" s="73"/>
      <c r="H361" s="73">
        <v>7600000</v>
      </c>
      <c r="I361" s="141">
        <f t="shared" si="10"/>
        <v>67.180538858638</v>
      </c>
    </row>
    <row r="362" spans="1:9" s="43" customFormat="1" ht="19.5" customHeight="1">
      <c r="A362" s="54"/>
      <c r="B362" s="74">
        <v>90003</v>
      </c>
      <c r="C362" s="74" t="s">
        <v>70</v>
      </c>
      <c r="D362" s="75">
        <f>SUM(D363:D367)</f>
        <v>7621368</v>
      </c>
      <c r="E362" s="75">
        <f>SUM(E363:E367)</f>
        <v>7706000</v>
      </c>
      <c r="F362" s="75">
        <f>SUM(F363:F367)</f>
        <v>7706000</v>
      </c>
      <c r="G362" s="75">
        <f>SUM(G363:G367)</f>
        <v>20000</v>
      </c>
      <c r="H362" s="75"/>
      <c r="I362" s="139">
        <f t="shared" si="10"/>
        <v>1.011104568103784</v>
      </c>
    </row>
    <row r="363" spans="1:9" s="7" customFormat="1" ht="18.75" customHeight="1">
      <c r="A363" s="68"/>
      <c r="B363" s="68"/>
      <c r="C363" s="70" t="s">
        <v>217</v>
      </c>
      <c r="D363" s="71">
        <v>6149500</v>
      </c>
      <c r="E363" s="71">
        <v>6000000</v>
      </c>
      <c r="F363" s="71">
        <v>6000000</v>
      </c>
      <c r="G363" s="71"/>
      <c r="H363" s="71"/>
      <c r="I363" s="136">
        <f t="shared" si="10"/>
        <v>0.9756890804130417</v>
      </c>
    </row>
    <row r="364" spans="1:9" s="7" customFormat="1" ht="18.75" customHeight="1">
      <c r="A364" s="68"/>
      <c r="B364" s="68"/>
      <c r="C364" s="78" t="s">
        <v>195</v>
      </c>
      <c r="D364" s="77">
        <v>900000</v>
      </c>
      <c r="E364" s="77">
        <v>1200000</v>
      </c>
      <c r="F364" s="77">
        <v>1200000</v>
      </c>
      <c r="G364" s="77">
        <v>20000</v>
      </c>
      <c r="H364" s="77"/>
      <c r="I364" s="137">
        <f t="shared" si="10"/>
        <v>1.3333333333333333</v>
      </c>
    </row>
    <row r="365" spans="1:9" s="7" customFormat="1" ht="18.75" customHeight="1">
      <c r="A365" s="68"/>
      <c r="B365" s="68"/>
      <c r="C365" s="78" t="s">
        <v>109</v>
      </c>
      <c r="D365" s="77">
        <v>150000</v>
      </c>
      <c r="E365" s="77">
        <v>100000</v>
      </c>
      <c r="F365" s="77">
        <v>100000</v>
      </c>
      <c r="G365" s="77"/>
      <c r="H365" s="77"/>
      <c r="I365" s="137">
        <f t="shared" si="10"/>
        <v>0.6666666666666666</v>
      </c>
    </row>
    <row r="366" spans="1:9" s="7" customFormat="1" ht="18.75" customHeight="1">
      <c r="A366" s="68"/>
      <c r="B366" s="68"/>
      <c r="C366" s="78" t="s">
        <v>107</v>
      </c>
      <c r="D366" s="77">
        <v>405868</v>
      </c>
      <c r="E366" s="77">
        <v>390000</v>
      </c>
      <c r="F366" s="77">
        <v>390000</v>
      </c>
      <c r="G366" s="77"/>
      <c r="H366" s="77"/>
      <c r="I366" s="137">
        <f t="shared" si="10"/>
        <v>0.9609035449949245</v>
      </c>
    </row>
    <row r="367" spans="1:9" s="7" customFormat="1" ht="18.75" customHeight="1">
      <c r="A367" s="68"/>
      <c r="B367" s="72"/>
      <c r="C367" s="82" t="s">
        <v>108</v>
      </c>
      <c r="D367" s="64">
        <v>16000</v>
      </c>
      <c r="E367" s="64">
        <v>16000</v>
      </c>
      <c r="F367" s="64">
        <v>16000</v>
      </c>
      <c r="G367" s="64"/>
      <c r="H367" s="64"/>
      <c r="I367" s="141">
        <f t="shared" si="10"/>
        <v>1</v>
      </c>
    </row>
    <row r="368" spans="1:9" s="43" customFormat="1" ht="19.5" customHeight="1">
      <c r="A368" s="54"/>
      <c r="B368" s="74">
        <v>90004</v>
      </c>
      <c r="C368" s="74" t="s">
        <v>71</v>
      </c>
      <c r="D368" s="75">
        <f>SUM(D369:D372)</f>
        <v>2591632</v>
      </c>
      <c r="E368" s="75">
        <f>SUM(E369:E372)</f>
        <v>2530000</v>
      </c>
      <c r="F368" s="75">
        <f>SUM(F369:F372)</f>
        <v>2530000</v>
      </c>
      <c r="G368" s="75"/>
      <c r="H368" s="75"/>
      <c r="I368" s="139">
        <f t="shared" si="10"/>
        <v>0.976218845885527</v>
      </c>
    </row>
    <row r="369" spans="1:9" s="7" customFormat="1" ht="18.75" customHeight="1">
      <c r="A369" s="68"/>
      <c r="B369" s="68"/>
      <c r="C369" s="89" t="s">
        <v>110</v>
      </c>
      <c r="D369" s="71">
        <v>223000</v>
      </c>
      <c r="E369" s="71">
        <v>230000</v>
      </c>
      <c r="F369" s="71">
        <v>230000</v>
      </c>
      <c r="G369" s="71"/>
      <c r="H369" s="71"/>
      <c r="I369" s="136">
        <f t="shared" si="10"/>
        <v>1.031390134529148</v>
      </c>
    </row>
    <row r="370" spans="1:9" s="7" customFormat="1" ht="18.75" customHeight="1">
      <c r="A370" s="68"/>
      <c r="B370" s="68"/>
      <c r="C370" s="78" t="s">
        <v>111</v>
      </c>
      <c r="D370" s="77">
        <v>2271632</v>
      </c>
      <c r="E370" s="77">
        <v>2200000</v>
      </c>
      <c r="F370" s="77">
        <v>2200000</v>
      </c>
      <c r="G370" s="77"/>
      <c r="H370" s="77"/>
      <c r="I370" s="137">
        <f t="shared" si="10"/>
        <v>0.9684667234833811</v>
      </c>
    </row>
    <row r="371" spans="1:9" s="7" customFormat="1" ht="18.75" customHeight="1">
      <c r="A371" s="68"/>
      <c r="B371" s="68"/>
      <c r="C371" s="76" t="s">
        <v>203</v>
      </c>
      <c r="D371" s="77">
        <v>30000</v>
      </c>
      <c r="E371" s="77">
        <v>30000</v>
      </c>
      <c r="F371" s="77">
        <v>30000</v>
      </c>
      <c r="G371" s="77"/>
      <c r="H371" s="77"/>
      <c r="I371" s="137">
        <f t="shared" si="10"/>
        <v>1</v>
      </c>
    </row>
    <row r="372" spans="1:9" s="7" customFormat="1" ht="27" customHeight="1">
      <c r="A372" s="68"/>
      <c r="B372" s="72"/>
      <c r="C372" s="63" t="s">
        <v>257</v>
      </c>
      <c r="D372" s="64">
        <v>67000</v>
      </c>
      <c r="E372" s="64">
        <v>70000</v>
      </c>
      <c r="F372" s="64">
        <v>70000</v>
      </c>
      <c r="G372" s="64"/>
      <c r="H372" s="64"/>
      <c r="I372" s="141">
        <f t="shared" si="10"/>
        <v>1.044776119402985</v>
      </c>
    </row>
    <row r="373" spans="1:9" s="43" customFormat="1" ht="19.5" customHeight="1">
      <c r="A373" s="54"/>
      <c r="B373" s="74">
        <v>90013</v>
      </c>
      <c r="C373" s="74" t="s">
        <v>72</v>
      </c>
      <c r="D373" s="75">
        <f>SUM(D374:D374)</f>
        <v>310000</v>
      </c>
      <c r="E373" s="75">
        <f>SUM(E374:E374)</f>
        <v>310000</v>
      </c>
      <c r="F373" s="75">
        <f>SUM(F374:F374)</f>
        <v>310000</v>
      </c>
      <c r="G373" s="75"/>
      <c r="H373" s="75"/>
      <c r="I373" s="139">
        <f t="shared" si="10"/>
        <v>1</v>
      </c>
    </row>
    <row r="374" spans="1:9" s="7" customFormat="1" ht="18.75" customHeight="1">
      <c r="A374" s="68"/>
      <c r="B374" s="72"/>
      <c r="C374" s="72" t="s">
        <v>234</v>
      </c>
      <c r="D374" s="73">
        <v>310000</v>
      </c>
      <c r="E374" s="73">
        <v>310000</v>
      </c>
      <c r="F374" s="73">
        <v>310000</v>
      </c>
      <c r="G374" s="73"/>
      <c r="H374" s="73"/>
      <c r="I374" s="138">
        <f t="shared" si="10"/>
        <v>1</v>
      </c>
    </row>
    <row r="375" spans="1:9" s="43" customFormat="1" ht="19.5" customHeight="1">
      <c r="A375" s="54"/>
      <c r="B375" s="74">
        <v>90015</v>
      </c>
      <c r="C375" s="74" t="s">
        <v>73</v>
      </c>
      <c r="D375" s="75">
        <f>SUM(D376:D378)</f>
        <v>7565000</v>
      </c>
      <c r="E375" s="75">
        <f>SUM(E376:E378)</f>
        <v>7450000</v>
      </c>
      <c r="F375" s="75">
        <f>SUM(F376:F378)</f>
        <v>7450000</v>
      </c>
      <c r="G375" s="75">
        <f>SUM(G376:G378)</f>
        <v>50000</v>
      </c>
      <c r="H375" s="75"/>
      <c r="I375" s="139">
        <f t="shared" si="10"/>
        <v>0.9847984137475215</v>
      </c>
    </row>
    <row r="376" spans="1:9" s="7" customFormat="1" ht="18.75" customHeight="1">
      <c r="A376" s="68"/>
      <c r="B376" s="68"/>
      <c r="C376" s="70" t="s">
        <v>112</v>
      </c>
      <c r="D376" s="71">
        <v>4500000</v>
      </c>
      <c r="E376" s="71">
        <v>4600000</v>
      </c>
      <c r="F376" s="71">
        <v>4600000</v>
      </c>
      <c r="G376" s="71"/>
      <c r="H376" s="71"/>
      <c r="I376" s="136">
        <f t="shared" si="10"/>
        <v>1.0222222222222221</v>
      </c>
    </row>
    <row r="377" spans="1:9" s="7" customFormat="1" ht="18.75" customHeight="1">
      <c r="A377" s="68"/>
      <c r="B377" s="68"/>
      <c r="C377" s="78" t="s">
        <v>170</v>
      </c>
      <c r="D377" s="77">
        <v>2750000</v>
      </c>
      <c r="E377" s="77">
        <v>2850000</v>
      </c>
      <c r="F377" s="77">
        <v>2850000</v>
      </c>
      <c r="G377" s="77">
        <v>50000</v>
      </c>
      <c r="H377" s="77"/>
      <c r="I377" s="137">
        <f t="shared" si="10"/>
        <v>1.0363636363636364</v>
      </c>
    </row>
    <row r="378" spans="1:9" s="7" customFormat="1" ht="18.75" customHeight="1">
      <c r="A378" s="68"/>
      <c r="B378" s="72"/>
      <c r="C378" s="72" t="s">
        <v>6</v>
      </c>
      <c r="D378" s="73">
        <v>315000</v>
      </c>
      <c r="E378" s="73"/>
      <c r="F378" s="73"/>
      <c r="G378" s="73"/>
      <c r="H378" s="73"/>
      <c r="I378" s="138"/>
    </row>
    <row r="379" spans="1:9" s="43" customFormat="1" ht="19.5" customHeight="1">
      <c r="A379" s="54"/>
      <c r="B379" s="74">
        <v>90095</v>
      </c>
      <c r="C379" s="74" t="s">
        <v>4</v>
      </c>
      <c r="D379" s="75">
        <f>SUM(D380:D382)</f>
        <v>10079277</v>
      </c>
      <c r="E379" s="75">
        <f>SUM(E380:E382)</f>
        <v>8083000</v>
      </c>
      <c r="F379" s="75">
        <f>SUM(F380:F382)</f>
        <v>83000</v>
      </c>
      <c r="G379" s="75"/>
      <c r="H379" s="75">
        <f>SUM(H380:H382)</f>
        <v>8000000</v>
      </c>
      <c r="I379" s="139">
        <f t="shared" si="10"/>
        <v>0.8019424409111884</v>
      </c>
    </row>
    <row r="380" spans="1:9" s="7" customFormat="1" ht="19.5" customHeight="1">
      <c r="A380" s="68"/>
      <c r="B380" s="68"/>
      <c r="C380" s="78" t="s">
        <v>196</v>
      </c>
      <c r="D380" s="77">
        <v>40000</v>
      </c>
      <c r="E380" s="77">
        <v>43000</v>
      </c>
      <c r="F380" s="77">
        <v>43000</v>
      </c>
      <c r="G380" s="77"/>
      <c r="H380" s="77"/>
      <c r="I380" s="137">
        <f>E380/D380</f>
        <v>1.075</v>
      </c>
    </row>
    <row r="381" spans="1:9" s="7" customFormat="1" ht="19.5" customHeight="1">
      <c r="A381" s="68"/>
      <c r="B381" s="68"/>
      <c r="C381" s="78" t="s">
        <v>275</v>
      </c>
      <c r="D381" s="77"/>
      <c r="E381" s="77">
        <v>40000</v>
      </c>
      <c r="F381" s="77">
        <v>40000</v>
      </c>
      <c r="G381" s="77"/>
      <c r="H381" s="77"/>
      <c r="I381" s="137"/>
    </row>
    <row r="382" spans="1:9" s="7" customFormat="1" ht="19.5" customHeight="1">
      <c r="A382" s="72"/>
      <c r="B382" s="72"/>
      <c r="C382" s="72" t="s">
        <v>6</v>
      </c>
      <c r="D382" s="73">
        <f>10439277-400000</f>
        <v>10039277</v>
      </c>
      <c r="E382" s="73">
        <v>8000000</v>
      </c>
      <c r="F382" s="73"/>
      <c r="G382" s="73"/>
      <c r="H382" s="73">
        <v>8000000</v>
      </c>
      <c r="I382" s="138">
        <f t="shared" si="10"/>
        <v>0.7968701331779171</v>
      </c>
    </row>
    <row r="383" spans="1:9" s="7" customFormat="1" ht="19.5" customHeight="1">
      <c r="A383" s="51">
        <v>921</v>
      </c>
      <c r="B383" s="51"/>
      <c r="C383" s="51" t="s">
        <v>134</v>
      </c>
      <c r="D383" s="52">
        <f>D384+D389+D391+D397+D399+D406+D402</f>
        <v>12523642</v>
      </c>
      <c r="E383" s="52">
        <f>E384+E389+E391+E397+E399+E406+E402</f>
        <v>13462000</v>
      </c>
      <c r="F383" s="52">
        <f>F384+F389+F391+F397+F399+F406+F402</f>
        <v>12357100</v>
      </c>
      <c r="G383" s="52">
        <f>G384+G389+G391+G397+G399+G406+G402</f>
        <v>820000</v>
      </c>
      <c r="H383" s="52">
        <f>H384+H389+H391+H397+H399+H406+H402</f>
        <v>1104900</v>
      </c>
      <c r="I383" s="129">
        <f t="shared" si="10"/>
        <v>1.0749269262088457</v>
      </c>
    </row>
    <row r="384" spans="1:9" s="42" customFormat="1" ht="19.5" customHeight="1">
      <c r="A384" s="92"/>
      <c r="B384" s="93">
        <v>92105</v>
      </c>
      <c r="C384" s="93" t="s">
        <v>129</v>
      </c>
      <c r="D384" s="94">
        <f>SUM(D385:D388)</f>
        <v>809000</v>
      </c>
      <c r="E384" s="94">
        <f>SUM(E385:E388)</f>
        <v>992000</v>
      </c>
      <c r="F384" s="94">
        <f>SUM(F385:F388)</f>
        <v>987100</v>
      </c>
      <c r="G384" s="94"/>
      <c r="H384" s="94">
        <f>SUM(H385:H388)</f>
        <v>4900</v>
      </c>
      <c r="I384" s="142">
        <f t="shared" si="10"/>
        <v>1.226205191594561</v>
      </c>
    </row>
    <row r="385" spans="1:9" s="21" customFormat="1" ht="19.5" customHeight="1">
      <c r="A385" s="92"/>
      <c r="B385" s="98"/>
      <c r="C385" s="99" t="s">
        <v>130</v>
      </c>
      <c r="D385" s="100">
        <v>746000</v>
      </c>
      <c r="E385" s="100">
        <v>749000</v>
      </c>
      <c r="F385" s="100">
        <v>749000</v>
      </c>
      <c r="G385" s="100"/>
      <c r="H385" s="100"/>
      <c r="I385" s="144">
        <f t="shared" si="10"/>
        <v>1.0040214477211795</v>
      </c>
    </row>
    <row r="386" spans="1:9" s="21" customFormat="1" ht="19.5" customHeight="1">
      <c r="A386" s="101"/>
      <c r="B386" s="101"/>
      <c r="C386" s="102" t="s">
        <v>147</v>
      </c>
      <c r="D386" s="103">
        <v>33000</v>
      </c>
      <c r="E386" s="103">
        <v>30000</v>
      </c>
      <c r="F386" s="103">
        <v>30000</v>
      </c>
      <c r="G386" s="103"/>
      <c r="H386" s="103"/>
      <c r="I386" s="145">
        <f t="shared" si="10"/>
        <v>0.9090909090909091</v>
      </c>
    </row>
    <row r="387" spans="1:9" s="21" customFormat="1" ht="19.5" customHeight="1">
      <c r="A387" s="101"/>
      <c r="B387" s="101"/>
      <c r="C387" s="104" t="s">
        <v>235</v>
      </c>
      <c r="D387" s="105">
        <v>30000</v>
      </c>
      <c r="E387" s="105">
        <v>30000</v>
      </c>
      <c r="F387" s="105">
        <v>30000</v>
      </c>
      <c r="G387" s="105"/>
      <c r="H387" s="105"/>
      <c r="I387" s="145">
        <f t="shared" si="10"/>
        <v>1</v>
      </c>
    </row>
    <row r="388" spans="1:9" s="21" customFormat="1" ht="28.5" customHeight="1">
      <c r="A388" s="95"/>
      <c r="B388" s="95"/>
      <c r="C388" s="110" t="s">
        <v>273</v>
      </c>
      <c r="D388" s="181"/>
      <c r="E388" s="96">
        <v>183000</v>
      </c>
      <c r="F388" s="96">
        <v>178100</v>
      </c>
      <c r="G388" s="96"/>
      <c r="H388" s="96">
        <v>4900</v>
      </c>
      <c r="I388" s="146"/>
    </row>
    <row r="389" spans="1:9" s="43" customFormat="1" ht="19.5" customHeight="1">
      <c r="A389" s="54"/>
      <c r="B389" s="74">
        <v>92106</v>
      </c>
      <c r="C389" s="74" t="s">
        <v>74</v>
      </c>
      <c r="D389" s="75">
        <f>D390</f>
        <v>1820000</v>
      </c>
      <c r="E389" s="75">
        <f>E390</f>
        <v>1940000</v>
      </c>
      <c r="F389" s="75">
        <f>F390</f>
        <v>1940000</v>
      </c>
      <c r="G389" s="75"/>
      <c r="H389" s="75"/>
      <c r="I389" s="139">
        <f t="shared" si="10"/>
        <v>1.065934065934066</v>
      </c>
    </row>
    <row r="390" spans="1:9" s="7" customFormat="1" ht="19.5" customHeight="1">
      <c r="A390" s="68"/>
      <c r="B390" s="86"/>
      <c r="C390" s="86" t="s">
        <v>271</v>
      </c>
      <c r="D390" s="88">
        <v>1820000</v>
      </c>
      <c r="E390" s="88">
        <v>1940000</v>
      </c>
      <c r="F390" s="88">
        <v>1940000</v>
      </c>
      <c r="G390" s="88"/>
      <c r="H390" s="88"/>
      <c r="I390" s="131">
        <f t="shared" si="10"/>
        <v>1.065934065934066</v>
      </c>
    </row>
    <row r="391" spans="1:9" s="7" customFormat="1" ht="19.5" customHeight="1">
      <c r="A391" s="68"/>
      <c r="B391" s="74">
        <v>92109</v>
      </c>
      <c r="C391" s="74" t="s">
        <v>75</v>
      </c>
      <c r="D391" s="75">
        <f>SUM(D392:D396)</f>
        <v>1740000</v>
      </c>
      <c r="E391" s="75">
        <f>SUM(E392:E396)</f>
        <v>2340000</v>
      </c>
      <c r="F391" s="75">
        <f>SUM(F392:F396)</f>
        <v>2230000</v>
      </c>
      <c r="G391" s="75">
        <f>SUM(G392:G396)</f>
        <v>240000</v>
      </c>
      <c r="H391" s="75">
        <f>SUM(H392:H396)</f>
        <v>110000</v>
      </c>
      <c r="I391" s="139">
        <f t="shared" si="10"/>
        <v>1.3448275862068966</v>
      </c>
    </row>
    <row r="392" spans="1:9" s="7" customFormat="1" ht="18.75" customHeight="1">
      <c r="A392" s="68"/>
      <c r="B392" s="68"/>
      <c r="C392" s="89" t="s">
        <v>198</v>
      </c>
      <c r="D392" s="71">
        <v>480000</v>
      </c>
      <c r="E392" s="71">
        <v>490000</v>
      </c>
      <c r="F392" s="71">
        <v>490000</v>
      </c>
      <c r="G392" s="71">
        <v>30000</v>
      </c>
      <c r="H392" s="71"/>
      <c r="I392" s="136">
        <f t="shared" si="10"/>
        <v>1.0208333333333333</v>
      </c>
    </row>
    <row r="393" spans="1:9" s="21" customFormat="1" ht="18.75" customHeight="1">
      <c r="A393" s="101"/>
      <c r="B393" s="101"/>
      <c r="C393" s="157" t="s">
        <v>241</v>
      </c>
      <c r="D393" s="103">
        <v>870000</v>
      </c>
      <c r="E393" s="103">
        <v>940000</v>
      </c>
      <c r="F393" s="103">
        <v>940000</v>
      </c>
      <c r="G393" s="103">
        <v>50000</v>
      </c>
      <c r="H393" s="103"/>
      <c r="I393" s="145">
        <f t="shared" si="10"/>
        <v>1.0804597701149425</v>
      </c>
    </row>
    <row r="394" spans="1:9" s="21" customFormat="1" ht="18.75" customHeight="1">
      <c r="A394" s="101"/>
      <c r="B394" s="101"/>
      <c r="C394" s="157" t="s">
        <v>199</v>
      </c>
      <c r="D394" s="103">
        <v>390000</v>
      </c>
      <c r="E394" s="103">
        <v>410000</v>
      </c>
      <c r="F394" s="103">
        <v>410000</v>
      </c>
      <c r="G394" s="103">
        <v>10000</v>
      </c>
      <c r="H394" s="103"/>
      <c r="I394" s="145">
        <f t="shared" si="10"/>
        <v>1.0512820512820513</v>
      </c>
    </row>
    <row r="395" spans="1:9" s="21" customFormat="1" ht="27.75" customHeight="1">
      <c r="A395" s="101"/>
      <c r="B395" s="101"/>
      <c r="C395" s="157" t="s">
        <v>309</v>
      </c>
      <c r="D395" s="103"/>
      <c r="E395" s="103">
        <v>200000</v>
      </c>
      <c r="F395" s="103">
        <v>140000</v>
      </c>
      <c r="G395" s="103"/>
      <c r="H395" s="103">
        <v>60000</v>
      </c>
      <c r="I395" s="145"/>
    </row>
    <row r="396" spans="1:9" s="21" customFormat="1" ht="30.75" customHeight="1">
      <c r="A396" s="101"/>
      <c r="B396" s="95"/>
      <c r="C396" s="124" t="s">
        <v>310</v>
      </c>
      <c r="D396" s="96"/>
      <c r="E396" s="96">
        <v>300000</v>
      </c>
      <c r="F396" s="96">
        <v>250000</v>
      </c>
      <c r="G396" s="96">
        <v>150000</v>
      </c>
      <c r="H396" s="96">
        <v>50000</v>
      </c>
      <c r="I396" s="143"/>
    </row>
    <row r="397" spans="1:9" s="43" customFormat="1" ht="19.5" customHeight="1">
      <c r="A397" s="54"/>
      <c r="B397" s="74">
        <v>92110</v>
      </c>
      <c r="C397" s="74" t="s">
        <v>76</v>
      </c>
      <c r="D397" s="75">
        <f>D398</f>
        <v>700000</v>
      </c>
      <c r="E397" s="75">
        <f>E398</f>
        <v>690000</v>
      </c>
      <c r="F397" s="75">
        <f>F398</f>
        <v>690000</v>
      </c>
      <c r="G397" s="75"/>
      <c r="H397" s="75"/>
      <c r="I397" s="139">
        <f t="shared" si="10"/>
        <v>0.9857142857142858</v>
      </c>
    </row>
    <row r="398" spans="1:9" s="7" customFormat="1" ht="18.75" customHeight="1">
      <c r="A398" s="68"/>
      <c r="B398" s="86"/>
      <c r="C398" s="86" t="s">
        <v>200</v>
      </c>
      <c r="D398" s="88">
        <v>700000</v>
      </c>
      <c r="E398" s="88">
        <v>690000</v>
      </c>
      <c r="F398" s="88">
        <v>690000</v>
      </c>
      <c r="G398" s="88"/>
      <c r="H398" s="88"/>
      <c r="I398" s="131">
        <f t="shared" si="10"/>
        <v>0.9857142857142858</v>
      </c>
    </row>
    <row r="399" spans="1:9" s="43" customFormat="1" ht="19.5" customHeight="1">
      <c r="A399" s="54"/>
      <c r="B399" s="74">
        <v>92113</v>
      </c>
      <c r="C399" s="74" t="s">
        <v>131</v>
      </c>
      <c r="D399" s="75">
        <f>SUM(D400:D401)</f>
        <v>2040000</v>
      </c>
      <c r="E399" s="75">
        <f>SUM(E400:E401)</f>
        <v>2300000</v>
      </c>
      <c r="F399" s="75">
        <f>SUM(F400:F401)</f>
        <v>1600000</v>
      </c>
      <c r="G399" s="75"/>
      <c r="H399" s="75">
        <f>SUM(H400:H401)</f>
        <v>700000</v>
      </c>
      <c r="I399" s="139">
        <f t="shared" si="10"/>
        <v>1.1274509803921569</v>
      </c>
    </row>
    <row r="400" spans="1:9" s="7" customFormat="1" ht="18.75" customHeight="1">
      <c r="A400" s="68"/>
      <c r="B400" s="68"/>
      <c r="C400" s="89" t="s">
        <v>201</v>
      </c>
      <c r="D400" s="71">
        <v>1540000</v>
      </c>
      <c r="E400" s="71">
        <v>1600000</v>
      </c>
      <c r="F400" s="71">
        <v>1600000</v>
      </c>
      <c r="G400" s="71"/>
      <c r="H400" s="71"/>
      <c r="I400" s="136">
        <f t="shared" si="10"/>
        <v>1.0389610389610389</v>
      </c>
    </row>
    <row r="401" spans="1:9" s="21" customFormat="1" ht="18.75" customHeight="1">
      <c r="A401" s="101"/>
      <c r="B401" s="95"/>
      <c r="C401" s="124" t="s">
        <v>6</v>
      </c>
      <c r="D401" s="107">
        <v>500000</v>
      </c>
      <c r="E401" s="107">
        <v>700000</v>
      </c>
      <c r="F401" s="107"/>
      <c r="G401" s="107"/>
      <c r="H401" s="107">
        <v>700000</v>
      </c>
      <c r="I401" s="146">
        <f>E401/D401</f>
        <v>1.4</v>
      </c>
    </row>
    <row r="402" spans="1:9" s="43" customFormat="1" ht="19.5" customHeight="1">
      <c r="A402" s="54"/>
      <c r="B402" s="74">
        <v>92116</v>
      </c>
      <c r="C402" s="74" t="s">
        <v>132</v>
      </c>
      <c r="D402" s="75">
        <f>SUM(D403:D405)</f>
        <v>4404642</v>
      </c>
      <c r="E402" s="75">
        <f>SUM(E403:E405)</f>
        <v>4550000</v>
      </c>
      <c r="F402" s="75">
        <f>SUM(F403:F405)</f>
        <v>4410000</v>
      </c>
      <c r="G402" s="75">
        <f>SUM(G403:G405)</f>
        <v>80000</v>
      </c>
      <c r="H402" s="75">
        <f>SUM(H403:H405)</f>
        <v>140000</v>
      </c>
      <c r="I402" s="139">
        <f t="shared" si="10"/>
        <v>1.0330010929378597</v>
      </c>
    </row>
    <row r="403" spans="1:9" s="7" customFormat="1" ht="19.5" customHeight="1">
      <c r="A403" s="68"/>
      <c r="B403" s="68"/>
      <c r="C403" s="89" t="s">
        <v>272</v>
      </c>
      <c r="D403" s="71">
        <v>4300000</v>
      </c>
      <c r="E403" s="71">
        <v>4380000</v>
      </c>
      <c r="F403" s="71">
        <v>4380000</v>
      </c>
      <c r="G403" s="71">
        <v>80000</v>
      </c>
      <c r="H403" s="71"/>
      <c r="I403" s="136">
        <f t="shared" si="10"/>
        <v>1.0186046511627906</v>
      </c>
    </row>
    <row r="404" spans="1:9" s="21" customFormat="1" ht="56.25" customHeight="1">
      <c r="A404" s="101"/>
      <c r="B404" s="101"/>
      <c r="C404" s="157" t="s">
        <v>325</v>
      </c>
      <c r="D404" s="103">
        <v>78642</v>
      </c>
      <c r="E404" s="103">
        <v>140000</v>
      </c>
      <c r="F404" s="103"/>
      <c r="G404" s="103"/>
      <c r="H404" s="103">
        <v>140000</v>
      </c>
      <c r="I404" s="145">
        <f>E404/D404</f>
        <v>1.780219221281249</v>
      </c>
    </row>
    <row r="405" spans="1:9" s="21" customFormat="1" ht="19.5" customHeight="1">
      <c r="A405" s="101"/>
      <c r="B405" s="95"/>
      <c r="C405" s="124" t="s">
        <v>133</v>
      </c>
      <c r="D405" s="107">
        <v>26000</v>
      </c>
      <c r="E405" s="107">
        <v>30000</v>
      </c>
      <c r="F405" s="107">
        <v>30000</v>
      </c>
      <c r="G405" s="107"/>
      <c r="H405" s="107"/>
      <c r="I405" s="146">
        <f>E405/D405</f>
        <v>1.1538461538461537</v>
      </c>
    </row>
    <row r="406" spans="1:9" s="43" customFormat="1" ht="19.5" customHeight="1">
      <c r="A406" s="54"/>
      <c r="B406" s="74">
        <v>92120</v>
      </c>
      <c r="C406" s="74" t="s">
        <v>77</v>
      </c>
      <c r="D406" s="75">
        <f>D407+D408</f>
        <v>1010000</v>
      </c>
      <c r="E406" s="75">
        <f>E407+E408</f>
        <v>650000</v>
      </c>
      <c r="F406" s="75">
        <f>F407+F408</f>
        <v>500000</v>
      </c>
      <c r="G406" s="75">
        <f>G407+G408</f>
        <v>500000</v>
      </c>
      <c r="H406" s="75">
        <f>H407+H408</f>
        <v>150000</v>
      </c>
      <c r="I406" s="139">
        <f t="shared" si="10"/>
        <v>0.6435643564356436</v>
      </c>
    </row>
    <row r="407" spans="1:9" s="7" customFormat="1" ht="19.5" customHeight="1">
      <c r="A407" s="68"/>
      <c r="B407" s="69"/>
      <c r="C407" s="89" t="s">
        <v>148</v>
      </c>
      <c r="D407" s="71">
        <v>250000</v>
      </c>
      <c r="E407" s="71">
        <v>500000</v>
      </c>
      <c r="F407" s="71">
        <v>500000</v>
      </c>
      <c r="G407" s="71">
        <v>500000</v>
      </c>
      <c r="H407" s="71"/>
      <c r="I407" s="136">
        <f t="shared" si="10"/>
        <v>2</v>
      </c>
    </row>
    <row r="408" spans="1:9" s="7" customFormat="1" ht="19.5" customHeight="1">
      <c r="A408" s="72"/>
      <c r="B408" s="72"/>
      <c r="C408" s="72" t="s">
        <v>311</v>
      </c>
      <c r="D408" s="73">
        <v>760000</v>
      </c>
      <c r="E408" s="73">
        <v>150000</v>
      </c>
      <c r="F408" s="73"/>
      <c r="G408" s="73"/>
      <c r="H408" s="73">
        <v>150000</v>
      </c>
      <c r="I408" s="138">
        <f>E408/D408</f>
        <v>0.19736842105263158</v>
      </c>
    </row>
    <row r="409" spans="1:9" s="7" customFormat="1" ht="19.5" customHeight="1">
      <c r="A409" s="51">
        <v>926</v>
      </c>
      <c r="B409" s="51"/>
      <c r="C409" s="51" t="s">
        <v>78</v>
      </c>
      <c r="D409" s="52">
        <f>D410+D412+D414</f>
        <v>9555247</v>
      </c>
      <c r="E409" s="52">
        <f>E410+E412+E414</f>
        <v>9706000</v>
      </c>
      <c r="F409" s="52">
        <f>F410+F412+F414</f>
        <v>3306000</v>
      </c>
      <c r="G409" s="52"/>
      <c r="H409" s="52">
        <f>H410+H412+H414</f>
        <v>6400000</v>
      </c>
      <c r="I409" s="129">
        <f t="shared" si="10"/>
        <v>1.0157769861940775</v>
      </c>
    </row>
    <row r="410" spans="1:9" s="43" customFormat="1" ht="19.5" customHeight="1">
      <c r="A410" s="54"/>
      <c r="B410" s="55">
        <v>92601</v>
      </c>
      <c r="C410" s="55" t="s">
        <v>79</v>
      </c>
      <c r="D410" s="56">
        <f>SUM(D411:D411)</f>
        <v>206000</v>
      </c>
      <c r="E410" s="56">
        <f>SUM(E411:E411)</f>
        <v>206000</v>
      </c>
      <c r="F410" s="56">
        <f>SUM(F411:F411)</f>
        <v>206000</v>
      </c>
      <c r="G410" s="56"/>
      <c r="H410" s="56"/>
      <c r="I410" s="130">
        <f t="shared" si="10"/>
        <v>1</v>
      </c>
    </row>
    <row r="411" spans="1:9" s="7" customFormat="1" ht="40.5" customHeight="1">
      <c r="A411" s="68"/>
      <c r="B411" s="86"/>
      <c r="C411" s="87" t="s">
        <v>328</v>
      </c>
      <c r="D411" s="88">
        <v>206000</v>
      </c>
      <c r="E411" s="88">
        <v>206000</v>
      </c>
      <c r="F411" s="88">
        <v>206000</v>
      </c>
      <c r="G411" s="88"/>
      <c r="H411" s="88"/>
      <c r="I411" s="131">
        <f t="shared" si="10"/>
        <v>1</v>
      </c>
    </row>
    <row r="412" spans="1:9" s="43" customFormat="1" ht="21" customHeight="1">
      <c r="A412" s="54"/>
      <c r="B412" s="74">
        <v>92604</v>
      </c>
      <c r="C412" s="74" t="s">
        <v>80</v>
      </c>
      <c r="D412" s="75">
        <f>SUM(D413:D413)</f>
        <v>7774247</v>
      </c>
      <c r="E412" s="75">
        <f>SUM(E413:E413)</f>
        <v>7600000</v>
      </c>
      <c r="F412" s="75">
        <f>SUM(F413:F413)</f>
        <v>1600000</v>
      </c>
      <c r="G412" s="75"/>
      <c r="H412" s="75">
        <f>SUM(H413:H413)</f>
        <v>6000000</v>
      </c>
      <c r="I412" s="139">
        <f t="shared" si="10"/>
        <v>0.9775866395806565</v>
      </c>
    </row>
    <row r="413" spans="1:9" s="7" customFormat="1" ht="21" customHeight="1">
      <c r="A413" s="68"/>
      <c r="B413" s="86"/>
      <c r="C413" s="86" t="s">
        <v>151</v>
      </c>
      <c r="D413" s="88">
        <v>7774247</v>
      </c>
      <c r="E413" s="88">
        <v>7600000</v>
      </c>
      <c r="F413" s="88">
        <v>1600000</v>
      </c>
      <c r="G413" s="88"/>
      <c r="H413" s="88">
        <v>6000000</v>
      </c>
      <c r="I413" s="131">
        <f t="shared" si="10"/>
        <v>0.9775866395806565</v>
      </c>
    </row>
    <row r="414" spans="1:9" s="43" customFormat="1" ht="19.5" customHeight="1">
      <c r="A414" s="54"/>
      <c r="B414" s="74">
        <v>92605</v>
      </c>
      <c r="C414" s="74" t="s">
        <v>135</v>
      </c>
      <c r="D414" s="75">
        <f>D415+D416+D418+D419+D420+D421</f>
        <v>1575000</v>
      </c>
      <c r="E414" s="75">
        <f>E415+E416+E418+E419+E420+E421</f>
        <v>1900000</v>
      </c>
      <c r="F414" s="75">
        <f>F415+F416+F418+F419+F420+F421</f>
        <v>1500000</v>
      </c>
      <c r="G414" s="75"/>
      <c r="H414" s="75">
        <f>SUM(H415:H421)</f>
        <v>400000</v>
      </c>
      <c r="I414" s="139">
        <f t="shared" si="10"/>
        <v>1.2063492063492063</v>
      </c>
    </row>
    <row r="415" spans="1:9" s="7" customFormat="1" ht="19.5" customHeight="1">
      <c r="A415" s="72"/>
      <c r="B415" s="72"/>
      <c r="C415" s="86" t="s">
        <v>312</v>
      </c>
      <c r="D415" s="88">
        <v>805000</v>
      </c>
      <c r="E415" s="88">
        <v>780000</v>
      </c>
      <c r="F415" s="88">
        <v>780000</v>
      </c>
      <c r="G415" s="88"/>
      <c r="H415" s="88"/>
      <c r="I415" s="131">
        <f t="shared" si="10"/>
        <v>0.968944099378882</v>
      </c>
    </row>
    <row r="416" spans="1:9" s="7" customFormat="1" ht="19.5" customHeight="1">
      <c r="A416" s="68"/>
      <c r="B416" s="68"/>
      <c r="C416" s="203" t="s">
        <v>173</v>
      </c>
      <c r="D416" s="204">
        <v>600000</v>
      </c>
      <c r="E416" s="204">
        <v>600000</v>
      </c>
      <c r="F416" s="204">
        <v>600000</v>
      </c>
      <c r="G416" s="204"/>
      <c r="H416" s="204"/>
      <c r="I416" s="205">
        <f t="shared" si="10"/>
        <v>1</v>
      </c>
    </row>
    <row r="417" spans="1:9" s="7" customFormat="1" ht="18.75" customHeight="1">
      <c r="A417" s="68"/>
      <c r="B417" s="68"/>
      <c r="C417" s="193" t="s">
        <v>329</v>
      </c>
      <c r="D417" s="194">
        <v>505000</v>
      </c>
      <c r="E417" s="194">
        <v>510000</v>
      </c>
      <c r="F417" s="194">
        <v>510000</v>
      </c>
      <c r="G417" s="194"/>
      <c r="H417" s="194"/>
      <c r="I417" s="195">
        <f>E417/D417</f>
        <v>1.00990099009901</v>
      </c>
    </row>
    <row r="418" spans="1:9" s="7" customFormat="1" ht="29.25" customHeight="1">
      <c r="A418" s="68"/>
      <c r="B418" s="68"/>
      <c r="C418" s="59" t="s">
        <v>313</v>
      </c>
      <c r="D418" s="60"/>
      <c r="E418" s="60">
        <v>20000</v>
      </c>
      <c r="F418" s="60">
        <v>20000</v>
      </c>
      <c r="G418" s="60"/>
      <c r="H418" s="60"/>
      <c r="I418" s="134"/>
    </row>
    <row r="419" spans="1:9" s="7" customFormat="1" ht="19.5" customHeight="1">
      <c r="A419" s="68"/>
      <c r="B419" s="68"/>
      <c r="C419" s="81" t="s">
        <v>274</v>
      </c>
      <c r="D419" s="80"/>
      <c r="E419" s="80">
        <v>60000</v>
      </c>
      <c r="F419" s="80">
        <v>60000</v>
      </c>
      <c r="G419" s="80"/>
      <c r="H419" s="80"/>
      <c r="I419" s="134"/>
    </row>
    <row r="420" spans="1:9" s="7" customFormat="1" ht="31.5" customHeight="1">
      <c r="A420" s="68"/>
      <c r="B420" s="68"/>
      <c r="C420" s="76" t="s">
        <v>252</v>
      </c>
      <c r="D420" s="77">
        <v>40000</v>
      </c>
      <c r="E420" s="77">
        <v>40000</v>
      </c>
      <c r="F420" s="77">
        <v>40000</v>
      </c>
      <c r="G420" s="77"/>
      <c r="H420" s="77"/>
      <c r="I420" s="137">
        <f t="shared" si="10"/>
        <v>1</v>
      </c>
    </row>
    <row r="421" spans="1:9" s="7" customFormat="1" ht="19.5" customHeight="1">
      <c r="A421" s="68"/>
      <c r="B421" s="68"/>
      <c r="C421" s="82" t="s">
        <v>6</v>
      </c>
      <c r="D421" s="64">
        <f>10000+120000</f>
        <v>130000</v>
      </c>
      <c r="E421" s="64">
        <v>400000</v>
      </c>
      <c r="F421" s="64"/>
      <c r="G421" s="64"/>
      <c r="H421" s="64">
        <v>400000</v>
      </c>
      <c r="I421" s="141">
        <f t="shared" si="10"/>
        <v>3.076923076923077</v>
      </c>
    </row>
    <row r="422" spans="1:9" ht="24.75" customHeight="1" thickBot="1">
      <c r="A422" s="72"/>
      <c r="B422" s="72"/>
      <c r="C422" s="18" t="s">
        <v>251</v>
      </c>
      <c r="D422" s="19">
        <f>D423+D429+D435+D426</f>
        <v>160659</v>
      </c>
      <c r="E422" s="19">
        <f>E423+E429+E435+E426</f>
        <v>2578000</v>
      </c>
      <c r="F422" s="19">
        <f>F423+F429+F435+F426</f>
        <v>2578000</v>
      </c>
      <c r="G422" s="19"/>
      <c r="H422" s="19"/>
      <c r="I422" s="147">
        <f>E422/D422</f>
        <v>16.046408853534505</v>
      </c>
    </row>
    <row r="423" spans="1:9" s="7" customFormat="1" ht="21" customHeight="1" thickTop="1">
      <c r="A423" s="51">
        <v>710</v>
      </c>
      <c r="B423" s="51"/>
      <c r="C423" s="51" t="s">
        <v>27</v>
      </c>
      <c r="D423" s="52">
        <f>D424</f>
        <v>38159</v>
      </c>
      <c r="E423" s="52"/>
      <c r="F423" s="52"/>
      <c r="G423" s="52"/>
      <c r="H423" s="52"/>
      <c r="I423" s="129"/>
    </row>
    <row r="424" spans="1:9" ht="21" customHeight="1">
      <c r="A424" s="69"/>
      <c r="B424" s="74">
        <v>71035</v>
      </c>
      <c r="C424" s="108" t="s">
        <v>162</v>
      </c>
      <c r="D424" s="46">
        <f>D425</f>
        <v>38159</v>
      </c>
      <c r="E424" s="46"/>
      <c r="F424" s="46"/>
      <c r="G424" s="46"/>
      <c r="H424" s="46"/>
      <c r="I424" s="148"/>
    </row>
    <row r="425" spans="1:9" s="7" customFormat="1" ht="21" customHeight="1">
      <c r="A425" s="72"/>
      <c r="B425" s="86"/>
      <c r="C425" s="87" t="s">
        <v>236</v>
      </c>
      <c r="D425" s="88">
        <v>38159</v>
      </c>
      <c r="E425" s="88"/>
      <c r="F425" s="88"/>
      <c r="G425" s="88"/>
      <c r="H425" s="88"/>
      <c r="I425" s="131"/>
    </row>
    <row r="426" spans="1:9" s="7" customFormat="1" ht="21" customHeight="1">
      <c r="A426" s="51">
        <v>754</v>
      </c>
      <c r="B426" s="51"/>
      <c r="C426" s="51" t="s">
        <v>32</v>
      </c>
      <c r="D426" s="52">
        <f>D427</f>
        <v>32500</v>
      </c>
      <c r="E426" s="52"/>
      <c r="F426" s="52"/>
      <c r="G426" s="52"/>
      <c r="H426" s="52"/>
      <c r="I426" s="129"/>
    </row>
    <row r="427" spans="1:9" s="43" customFormat="1" ht="21" customHeight="1">
      <c r="A427" s="54"/>
      <c r="B427" s="74">
        <v>75411</v>
      </c>
      <c r="C427" s="74" t="s">
        <v>33</v>
      </c>
      <c r="D427" s="75">
        <f>D428</f>
        <v>32500</v>
      </c>
      <c r="E427" s="75"/>
      <c r="F427" s="75"/>
      <c r="G427" s="75"/>
      <c r="H427" s="75"/>
      <c r="I427" s="139"/>
    </row>
    <row r="428" spans="1:9" s="7" customFormat="1" ht="27.75" customHeight="1">
      <c r="A428" s="72"/>
      <c r="B428" s="72"/>
      <c r="C428" s="85" t="s">
        <v>292</v>
      </c>
      <c r="D428" s="73">
        <v>32500</v>
      </c>
      <c r="E428" s="73"/>
      <c r="F428" s="73"/>
      <c r="G428" s="73"/>
      <c r="H428" s="73"/>
      <c r="I428" s="138"/>
    </row>
    <row r="429" spans="1:9" s="7" customFormat="1" ht="21" customHeight="1">
      <c r="A429" s="51">
        <v>801</v>
      </c>
      <c r="B429" s="51"/>
      <c r="C429" s="51" t="s">
        <v>42</v>
      </c>
      <c r="D429" s="52">
        <f>D430+D433</f>
        <v>60000</v>
      </c>
      <c r="E429" s="52">
        <f>E430+E433</f>
        <v>200000</v>
      </c>
      <c r="F429" s="52">
        <f>F430+F433</f>
        <v>200000</v>
      </c>
      <c r="G429" s="52"/>
      <c r="H429" s="52"/>
      <c r="I429" s="129">
        <f>E429/D429</f>
        <v>3.3333333333333335</v>
      </c>
    </row>
    <row r="430" spans="1:9" s="43" customFormat="1" ht="21" customHeight="1">
      <c r="A430" s="54"/>
      <c r="B430" s="74">
        <v>80104</v>
      </c>
      <c r="C430" s="74" t="s">
        <v>331</v>
      </c>
      <c r="D430" s="75"/>
      <c r="E430" s="75">
        <f>E431</f>
        <v>200000</v>
      </c>
      <c r="F430" s="75">
        <f>F431</f>
        <v>200000</v>
      </c>
      <c r="G430" s="75"/>
      <c r="H430" s="75"/>
      <c r="I430" s="139"/>
    </row>
    <row r="431" spans="1:9" s="43" customFormat="1" ht="21" customHeight="1">
      <c r="A431" s="54"/>
      <c r="B431" s="190"/>
      <c r="C431" s="69" t="s">
        <v>226</v>
      </c>
      <c r="D431" s="161"/>
      <c r="E431" s="161">
        <f>E432</f>
        <v>200000</v>
      </c>
      <c r="F431" s="161">
        <f>F432</f>
        <v>200000</v>
      </c>
      <c r="G431" s="161"/>
      <c r="H431" s="161"/>
      <c r="I431" s="163"/>
    </row>
    <row r="432" spans="1:9" s="7" customFormat="1" ht="19.5" customHeight="1">
      <c r="A432" s="68"/>
      <c r="B432" s="72"/>
      <c r="C432" s="191" t="s">
        <v>302</v>
      </c>
      <c r="D432" s="73"/>
      <c r="E432" s="73">
        <v>200000</v>
      </c>
      <c r="F432" s="73">
        <v>200000</v>
      </c>
      <c r="G432" s="73"/>
      <c r="H432" s="73"/>
      <c r="I432" s="138"/>
    </row>
    <row r="433" spans="1:9" s="43" customFormat="1" ht="21" customHeight="1">
      <c r="A433" s="54"/>
      <c r="B433" s="74">
        <v>80195</v>
      </c>
      <c r="C433" s="74" t="s">
        <v>4</v>
      </c>
      <c r="D433" s="75">
        <f>D434</f>
        <v>60000</v>
      </c>
      <c r="E433" s="75"/>
      <c r="F433" s="75"/>
      <c r="G433" s="75"/>
      <c r="H433" s="75"/>
      <c r="I433" s="139"/>
    </row>
    <row r="434" spans="1:9" s="7" customFormat="1" ht="26.25" customHeight="1">
      <c r="A434" s="72"/>
      <c r="B434" s="72"/>
      <c r="C434" s="85" t="s">
        <v>290</v>
      </c>
      <c r="D434" s="73">
        <v>60000</v>
      </c>
      <c r="E434" s="73"/>
      <c r="F434" s="73"/>
      <c r="G434" s="73"/>
      <c r="H434" s="73"/>
      <c r="I434" s="138"/>
    </row>
    <row r="435" spans="1:9" s="7" customFormat="1" ht="21" customHeight="1">
      <c r="A435" s="51">
        <v>852</v>
      </c>
      <c r="B435" s="51"/>
      <c r="C435" s="51" t="s">
        <v>209</v>
      </c>
      <c r="D435" s="52">
        <f>D436+D441+D443</f>
        <v>30000</v>
      </c>
      <c r="E435" s="52">
        <f>E436+E441+E443</f>
        <v>2378000</v>
      </c>
      <c r="F435" s="52">
        <f>F436+F441+F443</f>
        <v>2378000</v>
      </c>
      <c r="G435" s="52"/>
      <c r="H435" s="52"/>
      <c r="I435" s="129">
        <f>E435/D435</f>
        <v>79.26666666666667</v>
      </c>
    </row>
    <row r="436" spans="1:9" s="7" customFormat="1" ht="19.5" customHeight="1">
      <c r="A436" s="68"/>
      <c r="B436" s="55">
        <v>85201</v>
      </c>
      <c r="C436" s="55" t="s">
        <v>54</v>
      </c>
      <c r="D436" s="56"/>
      <c r="E436" s="56">
        <f>SUM(E437:E440)</f>
        <v>2300000</v>
      </c>
      <c r="F436" s="56">
        <f>SUM(F437:F440)</f>
        <v>2300000</v>
      </c>
      <c r="G436" s="56"/>
      <c r="H436" s="56"/>
      <c r="I436" s="130"/>
    </row>
    <row r="437" spans="1:9" s="7" customFormat="1" ht="18.75" customHeight="1">
      <c r="A437" s="68"/>
      <c r="B437" s="54"/>
      <c r="C437" s="70" t="s">
        <v>326</v>
      </c>
      <c r="D437" s="71"/>
      <c r="E437" s="71">
        <v>1120000</v>
      </c>
      <c r="F437" s="71">
        <v>1120000</v>
      </c>
      <c r="G437" s="71"/>
      <c r="H437" s="71"/>
      <c r="I437" s="136"/>
    </row>
    <row r="438" spans="1:9" s="7" customFormat="1" ht="18.75" customHeight="1">
      <c r="A438" s="68"/>
      <c r="B438" s="54"/>
      <c r="C438" s="78" t="s">
        <v>44</v>
      </c>
      <c r="D438" s="77"/>
      <c r="E438" s="77">
        <v>560000</v>
      </c>
      <c r="F438" s="77">
        <v>560000</v>
      </c>
      <c r="G438" s="77"/>
      <c r="H438" s="77"/>
      <c r="I438" s="137"/>
    </row>
    <row r="439" spans="1:9" s="7" customFormat="1" ht="18.75" customHeight="1">
      <c r="A439" s="68"/>
      <c r="B439" s="68"/>
      <c r="C439" s="78" t="s">
        <v>45</v>
      </c>
      <c r="D439" s="77"/>
      <c r="E439" s="77">
        <v>220000</v>
      </c>
      <c r="F439" s="77">
        <v>220000</v>
      </c>
      <c r="G439" s="77"/>
      <c r="H439" s="77"/>
      <c r="I439" s="137"/>
    </row>
    <row r="440" spans="1:9" s="7" customFormat="1" ht="18.75" customHeight="1">
      <c r="A440" s="68"/>
      <c r="B440" s="68"/>
      <c r="C440" s="76" t="s">
        <v>145</v>
      </c>
      <c r="D440" s="77"/>
      <c r="E440" s="77">
        <v>400000</v>
      </c>
      <c r="F440" s="77">
        <v>400000</v>
      </c>
      <c r="G440" s="77"/>
      <c r="H440" s="77"/>
      <c r="I440" s="137"/>
    </row>
    <row r="441" spans="1:9" s="7" customFormat="1" ht="19.5" customHeight="1">
      <c r="A441" s="68"/>
      <c r="B441" s="55">
        <v>85204</v>
      </c>
      <c r="C441" s="55" t="s">
        <v>93</v>
      </c>
      <c r="D441" s="56"/>
      <c r="E441" s="56">
        <f>E442</f>
        <v>78000</v>
      </c>
      <c r="F441" s="56">
        <f>F442</f>
        <v>78000</v>
      </c>
      <c r="G441" s="56"/>
      <c r="H441" s="56"/>
      <c r="I441" s="130"/>
    </row>
    <row r="442" spans="1:9" s="7" customFormat="1" ht="18.75" customHeight="1">
      <c r="A442" s="68"/>
      <c r="B442" s="55"/>
      <c r="C442" s="86" t="s">
        <v>94</v>
      </c>
      <c r="D442" s="88"/>
      <c r="E442" s="88">
        <v>78000</v>
      </c>
      <c r="F442" s="88">
        <v>78000</v>
      </c>
      <c r="G442" s="88"/>
      <c r="H442" s="88"/>
      <c r="I442" s="131"/>
    </row>
    <row r="443" spans="1:9" s="43" customFormat="1" ht="21" customHeight="1">
      <c r="A443" s="54"/>
      <c r="B443" s="74">
        <v>85295</v>
      </c>
      <c r="C443" s="74" t="s">
        <v>4</v>
      </c>
      <c r="D443" s="75">
        <f>D444</f>
        <v>30000</v>
      </c>
      <c r="E443" s="75"/>
      <c r="F443" s="75"/>
      <c r="G443" s="75"/>
      <c r="H443" s="75"/>
      <c r="I443" s="139"/>
    </row>
    <row r="444" spans="1:9" s="7" customFormat="1" ht="18.75" customHeight="1">
      <c r="A444" s="72"/>
      <c r="B444" s="72"/>
      <c r="C444" s="85" t="s">
        <v>291</v>
      </c>
      <c r="D444" s="73">
        <v>30000</v>
      </c>
      <c r="E444" s="73"/>
      <c r="F444" s="73"/>
      <c r="G444" s="73"/>
      <c r="H444" s="73"/>
      <c r="I444" s="138"/>
    </row>
    <row r="445" spans="1:9" ht="20.25" customHeight="1" thickBot="1">
      <c r="A445" s="68"/>
      <c r="B445" s="68"/>
      <c r="C445" s="20" t="s">
        <v>81</v>
      </c>
      <c r="D445" s="19">
        <f>D447+D490</f>
        <v>64960171</v>
      </c>
      <c r="E445" s="19">
        <f>E447+E490</f>
        <v>79184736</v>
      </c>
      <c r="F445" s="19">
        <f>F447+F490</f>
        <v>79157736</v>
      </c>
      <c r="G445" s="19">
        <f>G447+G490</f>
        <v>143100</v>
      </c>
      <c r="H445" s="19">
        <f>H447+H490</f>
        <v>27000</v>
      </c>
      <c r="I445" s="147">
        <f aca="true" t="shared" si="11" ref="I445:I495">E445/D445</f>
        <v>1.218973638477645</v>
      </c>
    </row>
    <row r="446" spans="1:9" ht="15" customHeight="1" thickTop="1">
      <c r="A446" s="68"/>
      <c r="B446" s="68"/>
      <c r="C446" s="68" t="s">
        <v>9</v>
      </c>
      <c r="D446" s="80"/>
      <c r="E446" s="80"/>
      <c r="F446" s="80"/>
      <c r="G446" s="80"/>
      <c r="H446" s="80"/>
      <c r="I446" s="140"/>
    </row>
    <row r="447" spans="1:9" ht="19.5" customHeight="1">
      <c r="A447" s="72"/>
      <c r="B447" s="72"/>
      <c r="C447" s="22" t="s">
        <v>152</v>
      </c>
      <c r="D447" s="23">
        <f>D448+D453+D458+D461+D464+D487</f>
        <v>45742052</v>
      </c>
      <c r="E447" s="23">
        <f>E448+E453+E458+E461+E464+E487</f>
        <v>59081467</v>
      </c>
      <c r="F447" s="23">
        <f>F448+F453+F458+F461+F464+F487</f>
        <v>59081467</v>
      </c>
      <c r="G447" s="23">
        <f>G448+G453+G458+G461+G464+G487</f>
        <v>50000</v>
      </c>
      <c r="H447" s="23"/>
      <c r="I447" s="149">
        <f t="shared" si="11"/>
        <v>1.2916225752180948</v>
      </c>
    </row>
    <row r="448" spans="1:9" s="7" customFormat="1" ht="19.5" customHeight="1">
      <c r="A448" s="50">
        <v>750</v>
      </c>
      <c r="B448" s="50"/>
      <c r="C448" s="50" t="s">
        <v>30</v>
      </c>
      <c r="D448" s="67">
        <f>D449</f>
        <v>1499616</v>
      </c>
      <c r="E448" s="67">
        <f>E449</f>
        <v>1544567</v>
      </c>
      <c r="F448" s="67">
        <f>F449</f>
        <v>1544567</v>
      </c>
      <c r="G448" s="67"/>
      <c r="H448" s="67"/>
      <c r="I448" s="135">
        <f t="shared" si="11"/>
        <v>1.0299750069351088</v>
      </c>
    </row>
    <row r="449" spans="1:9" s="21" customFormat="1" ht="19.5" customHeight="1">
      <c r="A449" s="98"/>
      <c r="B449" s="93">
        <v>75011</v>
      </c>
      <c r="C449" s="93" t="s">
        <v>82</v>
      </c>
      <c r="D449" s="94">
        <f>SUM(D450:D452)</f>
        <v>1499616</v>
      </c>
      <c r="E449" s="94">
        <f>SUM(E450:E452)</f>
        <v>1544567</v>
      </c>
      <c r="F449" s="94">
        <f>SUM(F450:F452)</f>
        <v>1544567</v>
      </c>
      <c r="G449" s="94"/>
      <c r="H449" s="94"/>
      <c r="I449" s="142">
        <f t="shared" si="11"/>
        <v>1.0299750069351088</v>
      </c>
    </row>
    <row r="450" spans="1:9" s="21" customFormat="1" ht="19.5" customHeight="1">
      <c r="A450" s="101"/>
      <c r="B450" s="111"/>
      <c r="C450" s="99" t="s">
        <v>326</v>
      </c>
      <c r="D450" s="100">
        <v>1216200</v>
      </c>
      <c r="E450" s="100">
        <v>1252690</v>
      </c>
      <c r="F450" s="100">
        <v>1252690</v>
      </c>
      <c r="G450" s="100"/>
      <c r="H450" s="100"/>
      <c r="I450" s="144">
        <f t="shared" si="11"/>
        <v>1.0300032889327413</v>
      </c>
    </row>
    <row r="451" spans="1:9" s="21" customFormat="1" ht="19.5" customHeight="1">
      <c r="A451" s="101"/>
      <c r="B451" s="101"/>
      <c r="C451" s="102" t="s">
        <v>44</v>
      </c>
      <c r="D451" s="103">
        <v>49625</v>
      </c>
      <c r="E451" s="103">
        <v>51093</v>
      </c>
      <c r="F451" s="103">
        <v>51093</v>
      </c>
      <c r="G451" s="103"/>
      <c r="H451" s="103"/>
      <c r="I451" s="145">
        <f t="shared" si="11"/>
        <v>1.0295818639798489</v>
      </c>
    </row>
    <row r="452" spans="1:9" s="21" customFormat="1" ht="19.5" customHeight="1">
      <c r="A452" s="95"/>
      <c r="B452" s="95"/>
      <c r="C452" s="95" t="s">
        <v>45</v>
      </c>
      <c r="D452" s="96">
        <v>233791</v>
      </c>
      <c r="E452" s="96">
        <v>240784</v>
      </c>
      <c r="F452" s="96">
        <v>240784</v>
      </c>
      <c r="G452" s="96"/>
      <c r="H452" s="96"/>
      <c r="I452" s="143">
        <f t="shared" si="11"/>
        <v>1.0299113310606482</v>
      </c>
    </row>
    <row r="453" spans="1:9" s="7" customFormat="1" ht="28.5" customHeight="1">
      <c r="A453" s="112">
        <v>751</v>
      </c>
      <c r="B453" s="51"/>
      <c r="C453" s="109" t="s">
        <v>182</v>
      </c>
      <c r="D453" s="52">
        <f>D454+D456</f>
        <v>487080</v>
      </c>
      <c r="E453" s="52">
        <f>E454</f>
        <v>29100</v>
      </c>
      <c r="F453" s="52">
        <f>F454</f>
        <v>29100</v>
      </c>
      <c r="G453" s="52"/>
      <c r="H453" s="52"/>
      <c r="I453" s="129">
        <f>E453/D453</f>
        <v>0.05974377925597438</v>
      </c>
    </row>
    <row r="454" spans="1:9" s="7" customFormat="1" ht="30.75" customHeight="1">
      <c r="A454" s="69"/>
      <c r="B454" s="118">
        <v>75101</v>
      </c>
      <c r="C454" s="84" t="s">
        <v>183</v>
      </c>
      <c r="D454" s="75">
        <f>D455</f>
        <v>29140</v>
      </c>
      <c r="E454" s="75">
        <f>E455</f>
        <v>29100</v>
      </c>
      <c r="F454" s="75">
        <f>F455</f>
        <v>29100</v>
      </c>
      <c r="G454" s="75"/>
      <c r="H454" s="75"/>
      <c r="I454" s="139">
        <f>E454/D454</f>
        <v>0.9986273164035689</v>
      </c>
    </row>
    <row r="455" spans="1:9" s="7" customFormat="1" ht="19.5" customHeight="1">
      <c r="A455" s="68"/>
      <c r="B455" s="72"/>
      <c r="C455" s="85" t="s">
        <v>255</v>
      </c>
      <c r="D455" s="73">
        <v>29140</v>
      </c>
      <c r="E455" s="73">
        <v>29100</v>
      </c>
      <c r="F455" s="73">
        <v>29100</v>
      </c>
      <c r="G455" s="73"/>
      <c r="H455" s="73"/>
      <c r="I455" s="138">
        <f>E455/D455</f>
        <v>0.9986273164035689</v>
      </c>
    </row>
    <row r="456" spans="1:9" s="7" customFormat="1" ht="19.5" customHeight="1">
      <c r="A456" s="68"/>
      <c r="B456" s="74">
        <v>75113</v>
      </c>
      <c r="C456" s="84" t="s">
        <v>294</v>
      </c>
      <c r="D456" s="75">
        <f>D457</f>
        <v>457940</v>
      </c>
      <c r="E456" s="75"/>
      <c r="F456" s="75"/>
      <c r="G456" s="75"/>
      <c r="H456" s="75"/>
      <c r="I456" s="139"/>
    </row>
    <row r="457" spans="1:9" s="7" customFormat="1" ht="19.5" customHeight="1">
      <c r="A457" s="72"/>
      <c r="B457" s="72"/>
      <c r="C457" s="85" t="s">
        <v>295</v>
      </c>
      <c r="D457" s="73">
        <f>460600-2660</f>
        <v>457940</v>
      </c>
      <c r="E457" s="73"/>
      <c r="F457" s="73"/>
      <c r="G457" s="73"/>
      <c r="H457" s="73"/>
      <c r="I457" s="138"/>
    </row>
    <row r="458" spans="1:9" s="7" customFormat="1" ht="19.5" customHeight="1">
      <c r="A458" s="112">
        <v>754</v>
      </c>
      <c r="B458" s="51"/>
      <c r="C458" s="109" t="s">
        <v>32</v>
      </c>
      <c r="D458" s="52">
        <f aca="true" t="shared" si="12" ref="D458:F459">D459</f>
        <v>2200</v>
      </c>
      <c r="E458" s="52">
        <f t="shared" si="12"/>
        <v>1800</v>
      </c>
      <c r="F458" s="52">
        <f t="shared" si="12"/>
        <v>1800</v>
      </c>
      <c r="G458" s="52"/>
      <c r="H458" s="52"/>
      <c r="I458" s="129">
        <f>E458/D458</f>
        <v>0.8181818181818182</v>
      </c>
    </row>
    <row r="459" spans="1:9" s="7" customFormat="1" ht="19.5" customHeight="1">
      <c r="A459" s="69"/>
      <c r="B459" s="55">
        <v>75414</v>
      </c>
      <c r="C459" s="91" t="s">
        <v>83</v>
      </c>
      <c r="D459" s="56">
        <f t="shared" si="12"/>
        <v>2200</v>
      </c>
      <c r="E459" s="56">
        <f t="shared" si="12"/>
        <v>1800</v>
      </c>
      <c r="F459" s="56">
        <f t="shared" si="12"/>
        <v>1800</v>
      </c>
      <c r="G459" s="56"/>
      <c r="H459" s="56"/>
      <c r="I459" s="130">
        <f>E459/D459</f>
        <v>0.8181818181818182</v>
      </c>
    </row>
    <row r="460" spans="1:9" s="7" customFormat="1" ht="19.5" customHeight="1">
      <c r="A460" s="72"/>
      <c r="B460" s="72"/>
      <c r="C460" s="85" t="s">
        <v>243</v>
      </c>
      <c r="D460" s="73">
        <v>2200</v>
      </c>
      <c r="E460" s="73">
        <v>1800</v>
      </c>
      <c r="F460" s="73">
        <v>1800</v>
      </c>
      <c r="G460" s="73"/>
      <c r="H460" s="73"/>
      <c r="I460" s="138">
        <f>E460/D460</f>
        <v>0.8181818181818182</v>
      </c>
    </row>
    <row r="461" spans="1:9" s="7" customFormat="1" ht="19.5" customHeight="1">
      <c r="A461" s="112">
        <v>801</v>
      </c>
      <c r="B461" s="51"/>
      <c r="C461" s="109" t="s">
        <v>42</v>
      </c>
      <c r="D461" s="52">
        <f>D462</f>
        <v>14000</v>
      </c>
      <c r="E461" s="52"/>
      <c r="F461" s="52"/>
      <c r="G461" s="52"/>
      <c r="H461" s="52"/>
      <c r="I461" s="129"/>
    </row>
    <row r="462" spans="1:9" s="7" customFormat="1" ht="19.5" customHeight="1">
      <c r="A462" s="69"/>
      <c r="B462" s="55">
        <v>80101</v>
      </c>
      <c r="C462" s="91" t="s">
        <v>43</v>
      </c>
      <c r="D462" s="56">
        <f>D463</f>
        <v>14000</v>
      </c>
      <c r="E462" s="56"/>
      <c r="F462" s="56"/>
      <c r="G462" s="56"/>
      <c r="H462" s="56"/>
      <c r="I462" s="130"/>
    </row>
    <row r="463" spans="1:9" s="7" customFormat="1" ht="19.5" customHeight="1">
      <c r="A463" s="72"/>
      <c r="B463" s="72"/>
      <c r="C463" s="85" t="s">
        <v>296</v>
      </c>
      <c r="D463" s="73">
        <v>14000</v>
      </c>
      <c r="E463" s="73"/>
      <c r="F463" s="73"/>
      <c r="G463" s="73"/>
      <c r="H463" s="73"/>
      <c r="I463" s="138"/>
    </row>
    <row r="464" spans="1:9" s="7" customFormat="1" ht="19.5" customHeight="1">
      <c r="A464" s="51">
        <v>852</v>
      </c>
      <c r="B464" s="51"/>
      <c r="C464" s="51" t="s">
        <v>209</v>
      </c>
      <c r="D464" s="52">
        <f>D465+D479+D481+D483+D485+D473</f>
        <v>43735156</v>
      </c>
      <c r="E464" s="52">
        <f>E465+E479+E481+E483+E485+E473</f>
        <v>57506000</v>
      </c>
      <c r="F464" s="52">
        <f>F465+F479+F481+F483+F485+F473</f>
        <v>57506000</v>
      </c>
      <c r="G464" s="52">
        <f>G465+G479+G481+G483+G485+G473</f>
        <v>50000</v>
      </c>
      <c r="H464" s="52"/>
      <c r="I464" s="129">
        <f t="shared" si="11"/>
        <v>1.314868980917777</v>
      </c>
    </row>
    <row r="465" spans="1:9" s="7" customFormat="1" ht="19.5" customHeight="1">
      <c r="A465" s="68"/>
      <c r="B465" s="55">
        <v>85203</v>
      </c>
      <c r="C465" s="55" t="s">
        <v>56</v>
      </c>
      <c r="D465" s="56">
        <f>D466+D471</f>
        <v>799900</v>
      </c>
      <c r="E465" s="56">
        <f>E466+E471</f>
        <v>782000</v>
      </c>
      <c r="F465" s="56">
        <f>F466+F471</f>
        <v>782000</v>
      </c>
      <c r="G465" s="56">
        <f>G466+G471</f>
        <v>50000</v>
      </c>
      <c r="H465" s="56"/>
      <c r="I465" s="130">
        <f t="shared" si="11"/>
        <v>0.977622202775347</v>
      </c>
    </row>
    <row r="466" spans="1:9" s="7" customFormat="1" ht="30.75" customHeight="1">
      <c r="A466" s="68"/>
      <c r="B466" s="68"/>
      <c r="C466" s="160" t="s">
        <v>253</v>
      </c>
      <c r="D466" s="161">
        <f>SUM(D467:D470)</f>
        <v>561900</v>
      </c>
      <c r="E466" s="161">
        <f>SUM(E467:E470)</f>
        <v>560000</v>
      </c>
      <c r="F466" s="161">
        <f>SUM(F467:F470)</f>
        <v>560000</v>
      </c>
      <c r="G466" s="161">
        <f>SUM(G467:G470)</f>
        <v>50000</v>
      </c>
      <c r="H466" s="161"/>
      <c r="I466" s="163">
        <f t="shared" si="11"/>
        <v>0.996618615411995</v>
      </c>
    </row>
    <row r="467" spans="1:9" s="7" customFormat="1" ht="19.5" customHeight="1">
      <c r="A467" s="68"/>
      <c r="B467" s="68"/>
      <c r="C467" s="97" t="s">
        <v>326</v>
      </c>
      <c r="D467" s="60">
        <f>261300+2500</f>
        <v>263800</v>
      </c>
      <c r="E467" s="60">
        <f>298000+2500</f>
        <v>300500</v>
      </c>
      <c r="F467" s="60">
        <f>298000+2500</f>
        <v>300500</v>
      </c>
      <c r="G467" s="60"/>
      <c r="H467" s="60"/>
      <c r="I467" s="134">
        <f t="shared" si="11"/>
        <v>1.139120545868082</v>
      </c>
    </row>
    <row r="468" spans="1:9" s="7" customFormat="1" ht="19.5" customHeight="1">
      <c r="A468" s="68"/>
      <c r="B468" s="68"/>
      <c r="C468" s="78" t="s">
        <v>44</v>
      </c>
      <c r="D468" s="77">
        <f>173000-2500</f>
        <v>170500</v>
      </c>
      <c r="E468" s="77">
        <f>203000-2500</f>
        <v>200500</v>
      </c>
      <c r="F468" s="77">
        <f>203000-2500</f>
        <v>200500</v>
      </c>
      <c r="G468" s="77">
        <v>50000</v>
      </c>
      <c r="H468" s="77"/>
      <c r="I468" s="137">
        <f t="shared" si="11"/>
        <v>1.1759530791788857</v>
      </c>
    </row>
    <row r="469" spans="1:9" s="7" customFormat="1" ht="19.5" customHeight="1">
      <c r="A469" s="68"/>
      <c r="B469" s="68"/>
      <c r="C469" s="78" t="s">
        <v>45</v>
      </c>
      <c r="D469" s="77">
        <v>52600</v>
      </c>
      <c r="E469" s="77">
        <v>59000</v>
      </c>
      <c r="F469" s="77">
        <v>59000</v>
      </c>
      <c r="G469" s="77"/>
      <c r="H469" s="77"/>
      <c r="I469" s="137">
        <f t="shared" si="11"/>
        <v>1.1216730038022813</v>
      </c>
    </row>
    <row r="470" spans="1:9" s="7" customFormat="1" ht="19.5" customHeight="1">
      <c r="A470" s="68"/>
      <c r="B470" s="68"/>
      <c r="C470" s="180" t="s">
        <v>6</v>
      </c>
      <c r="D470" s="178">
        <v>75000</v>
      </c>
      <c r="E470" s="178"/>
      <c r="F470" s="178"/>
      <c r="G470" s="178"/>
      <c r="H470" s="178"/>
      <c r="I470" s="158"/>
    </row>
    <row r="471" spans="1:9" s="7" customFormat="1" ht="28.5" customHeight="1">
      <c r="A471" s="68"/>
      <c r="B471" s="68"/>
      <c r="C471" s="179" t="s">
        <v>254</v>
      </c>
      <c r="D471" s="178">
        <v>238000</v>
      </c>
      <c r="E471" s="178">
        <v>222000</v>
      </c>
      <c r="F471" s="178">
        <v>222000</v>
      </c>
      <c r="G471" s="178"/>
      <c r="H471" s="178"/>
      <c r="I471" s="158">
        <f>E471/D471</f>
        <v>0.9327731092436975</v>
      </c>
    </row>
    <row r="472" spans="1:9" s="7" customFormat="1" ht="28.5" customHeight="1">
      <c r="A472" s="184"/>
      <c r="B472" s="184"/>
      <c r="C472" s="192"/>
      <c r="D472" s="185"/>
      <c r="E472" s="185"/>
      <c r="F472" s="185"/>
      <c r="G472" s="185"/>
      <c r="H472" s="185"/>
      <c r="I472" s="186"/>
    </row>
    <row r="473" spans="1:9" s="7" customFormat="1" ht="31.5" customHeight="1">
      <c r="A473" s="68"/>
      <c r="B473" s="118">
        <v>85212</v>
      </c>
      <c r="C473" s="84" t="s">
        <v>314</v>
      </c>
      <c r="D473" s="75">
        <f>SUM(D474:D478)</f>
        <v>30693816</v>
      </c>
      <c r="E473" s="75">
        <f>SUM(E474:E478)</f>
        <v>45881000</v>
      </c>
      <c r="F473" s="75">
        <f>SUM(F474:F478)</f>
        <v>45881000</v>
      </c>
      <c r="G473" s="75"/>
      <c r="H473" s="75"/>
      <c r="I473" s="139">
        <f t="shared" si="11"/>
        <v>1.4947962156285814</v>
      </c>
    </row>
    <row r="474" spans="1:9" s="7" customFormat="1" ht="19.5" customHeight="1">
      <c r="A474" s="68"/>
      <c r="B474" s="68"/>
      <c r="C474" s="97" t="s">
        <v>326</v>
      </c>
      <c r="D474" s="60">
        <f>490000+129000</f>
        <v>619000</v>
      </c>
      <c r="E474" s="60">
        <f>556650+108000</f>
        <v>664650</v>
      </c>
      <c r="F474" s="60">
        <f>556650+108000</f>
        <v>664650</v>
      </c>
      <c r="G474" s="60"/>
      <c r="H474" s="60"/>
      <c r="I474" s="136">
        <f t="shared" si="11"/>
        <v>1.0737479806138934</v>
      </c>
    </row>
    <row r="475" spans="1:9" s="7" customFormat="1" ht="19.5" customHeight="1">
      <c r="A475" s="68"/>
      <c r="B475" s="68"/>
      <c r="C475" s="78" t="s">
        <v>44</v>
      </c>
      <c r="D475" s="77">
        <f>337243-129000</f>
        <v>208243</v>
      </c>
      <c r="E475" s="77">
        <f>230990-108000</f>
        <v>122990</v>
      </c>
      <c r="F475" s="77">
        <f>230990-108000</f>
        <v>122990</v>
      </c>
      <c r="G475" s="77"/>
      <c r="H475" s="77"/>
      <c r="I475" s="137">
        <f t="shared" si="11"/>
        <v>0.5906080876668123</v>
      </c>
    </row>
    <row r="476" spans="1:9" s="7" customFormat="1" ht="19.5" customHeight="1">
      <c r="A476" s="68"/>
      <c r="B476" s="68"/>
      <c r="C476" s="78" t="s">
        <v>45</v>
      </c>
      <c r="D476" s="77">
        <v>97915</v>
      </c>
      <c r="E476" s="77">
        <v>112000</v>
      </c>
      <c r="F476" s="77">
        <v>112000</v>
      </c>
      <c r="G476" s="77"/>
      <c r="H476" s="77"/>
      <c r="I476" s="137">
        <f t="shared" si="11"/>
        <v>1.1438492570086298</v>
      </c>
    </row>
    <row r="477" spans="1:9" s="7" customFormat="1" ht="19.5" customHeight="1">
      <c r="A477" s="68"/>
      <c r="B477" s="68"/>
      <c r="C477" s="78" t="s">
        <v>293</v>
      </c>
      <c r="D477" s="77">
        <v>29595168</v>
      </c>
      <c r="E477" s="77">
        <v>44981360</v>
      </c>
      <c r="F477" s="77">
        <v>44981360</v>
      </c>
      <c r="G477" s="77"/>
      <c r="H477" s="77"/>
      <c r="I477" s="137">
        <f t="shared" si="11"/>
        <v>1.519888652093477</v>
      </c>
    </row>
    <row r="478" spans="1:9" s="7" customFormat="1" ht="19.5" customHeight="1">
      <c r="A478" s="68"/>
      <c r="B478" s="72"/>
      <c r="C478" s="82" t="s">
        <v>6</v>
      </c>
      <c r="D478" s="64">
        <v>173490</v>
      </c>
      <c r="E478" s="64"/>
      <c r="F478" s="64"/>
      <c r="G478" s="64"/>
      <c r="H478" s="64"/>
      <c r="I478" s="141"/>
    </row>
    <row r="479" spans="1:9" s="7" customFormat="1" ht="44.25" customHeight="1">
      <c r="A479" s="68"/>
      <c r="B479" s="118">
        <v>85213</v>
      </c>
      <c r="C479" s="84" t="s">
        <v>324</v>
      </c>
      <c r="D479" s="75">
        <f>D480</f>
        <v>705600</v>
      </c>
      <c r="E479" s="75">
        <f>E480</f>
        <v>800000</v>
      </c>
      <c r="F479" s="75">
        <f>F480</f>
        <v>800000</v>
      </c>
      <c r="G479" s="75"/>
      <c r="H479" s="75"/>
      <c r="I479" s="139">
        <f t="shared" si="11"/>
        <v>1.1337868480725624</v>
      </c>
    </row>
    <row r="480" spans="1:9" s="7" customFormat="1" ht="29.25" customHeight="1">
      <c r="A480" s="68"/>
      <c r="B480" s="86"/>
      <c r="C480" s="87" t="s">
        <v>227</v>
      </c>
      <c r="D480" s="88">
        <v>705600</v>
      </c>
      <c r="E480" s="88">
        <v>800000</v>
      </c>
      <c r="F480" s="88">
        <v>800000</v>
      </c>
      <c r="G480" s="88"/>
      <c r="H480" s="88"/>
      <c r="I480" s="131">
        <f t="shared" si="11"/>
        <v>1.1337868480725624</v>
      </c>
    </row>
    <row r="481" spans="1:9" s="7" customFormat="1" ht="19.5" customHeight="1">
      <c r="A481" s="68"/>
      <c r="B481" s="118">
        <v>85214</v>
      </c>
      <c r="C481" s="84" t="s">
        <v>175</v>
      </c>
      <c r="D481" s="75">
        <f>SUM(D482:D482)</f>
        <v>10356400</v>
      </c>
      <c r="E481" s="75">
        <f>SUM(E482:E482)</f>
        <v>9258000</v>
      </c>
      <c r="F481" s="75">
        <f>SUM(F482:F482)</f>
        <v>9258000</v>
      </c>
      <c r="G481" s="75"/>
      <c r="H481" s="75"/>
      <c r="I481" s="139">
        <f t="shared" si="11"/>
        <v>0.8939399791433317</v>
      </c>
    </row>
    <row r="482" spans="1:9" s="7" customFormat="1" ht="19.5" customHeight="1">
      <c r="A482" s="68"/>
      <c r="B482" s="86"/>
      <c r="C482" s="86" t="s">
        <v>94</v>
      </c>
      <c r="D482" s="88">
        <v>10356400</v>
      </c>
      <c r="E482" s="88">
        <v>9258000</v>
      </c>
      <c r="F482" s="88">
        <v>9258000</v>
      </c>
      <c r="G482" s="88"/>
      <c r="H482" s="88"/>
      <c r="I482" s="131">
        <f t="shared" si="11"/>
        <v>0.8939399791433317</v>
      </c>
    </row>
    <row r="483" spans="1:9" s="7" customFormat="1" ht="19.5" customHeight="1">
      <c r="A483" s="68"/>
      <c r="B483" s="74">
        <v>85216</v>
      </c>
      <c r="C483" s="84" t="s">
        <v>136</v>
      </c>
      <c r="D483" s="75">
        <f>D484</f>
        <v>249440</v>
      </c>
      <c r="E483" s="75"/>
      <c r="F483" s="75"/>
      <c r="G483" s="75"/>
      <c r="H483" s="75"/>
      <c r="I483" s="139"/>
    </row>
    <row r="484" spans="1:9" s="7" customFormat="1" ht="19.5" customHeight="1">
      <c r="A484" s="68"/>
      <c r="B484" s="86"/>
      <c r="C484" s="87" t="s">
        <v>94</v>
      </c>
      <c r="D484" s="88">
        <v>249440</v>
      </c>
      <c r="E484" s="88"/>
      <c r="F484" s="88"/>
      <c r="G484" s="88"/>
      <c r="H484" s="88"/>
      <c r="I484" s="131"/>
    </row>
    <row r="485" spans="1:9" s="7" customFormat="1" ht="19.5" customHeight="1">
      <c r="A485" s="68"/>
      <c r="B485" s="74">
        <v>85228</v>
      </c>
      <c r="C485" s="84" t="s">
        <v>60</v>
      </c>
      <c r="D485" s="75">
        <f>D486</f>
        <v>930000</v>
      </c>
      <c r="E485" s="75">
        <f>E486</f>
        <v>785000</v>
      </c>
      <c r="F485" s="75">
        <f>F486</f>
        <v>785000</v>
      </c>
      <c r="G485" s="75"/>
      <c r="H485" s="75"/>
      <c r="I485" s="139">
        <f t="shared" si="11"/>
        <v>0.8440860215053764</v>
      </c>
    </row>
    <row r="486" spans="1:9" s="7" customFormat="1" ht="19.5" customHeight="1">
      <c r="A486" s="72"/>
      <c r="B486" s="72"/>
      <c r="C486" s="85" t="s">
        <v>137</v>
      </c>
      <c r="D486" s="73">
        <v>930000</v>
      </c>
      <c r="E486" s="73">
        <v>785000</v>
      </c>
      <c r="F486" s="73">
        <v>785000</v>
      </c>
      <c r="G486" s="73"/>
      <c r="H486" s="73"/>
      <c r="I486" s="138">
        <f t="shared" si="11"/>
        <v>0.8440860215053764</v>
      </c>
    </row>
    <row r="487" spans="1:9" s="7" customFormat="1" ht="19.5" customHeight="1">
      <c r="A487" s="51">
        <v>854</v>
      </c>
      <c r="B487" s="51"/>
      <c r="C487" s="51" t="s">
        <v>62</v>
      </c>
      <c r="D487" s="52">
        <f>D488</f>
        <v>4000</v>
      </c>
      <c r="E487" s="52"/>
      <c r="F487" s="52"/>
      <c r="G487" s="52"/>
      <c r="H487" s="52"/>
      <c r="I487" s="129"/>
    </row>
    <row r="488" spans="1:9" s="7" customFormat="1" ht="19.5" customHeight="1">
      <c r="A488" s="68"/>
      <c r="B488" s="74">
        <v>85401</v>
      </c>
      <c r="C488" s="74" t="s">
        <v>63</v>
      </c>
      <c r="D488" s="75">
        <f>D489</f>
        <v>4000</v>
      </c>
      <c r="E488" s="75"/>
      <c r="F488" s="75"/>
      <c r="G488" s="75"/>
      <c r="H488" s="75"/>
      <c r="I488" s="139"/>
    </row>
    <row r="489" spans="1:9" s="7" customFormat="1" ht="19.5" customHeight="1">
      <c r="A489" s="68"/>
      <c r="B489" s="69"/>
      <c r="C489" s="72" t="s">
        <v>296</v>
      </c>
      <c r="D489" s="73">
        <v>4000</v>
      </c>
      <c r="E489" s="73"/>
      <c r="F489" s="73"/>
      <c r="G489" s="73"/>
      <c r="H489" s="73"/>
      <c r="I489" s="138"/>
    </row>
    <row r="490" spans="1:9" ht="27" customHeight="1">
      <c r="A490" s="72"/>
      <c r="B490" s="72"/>
      <c r="C490" s="24" t="s">
        <v>84</v>
      </c>
      <c r="D490" s="23">
        <f>D491+D494+D501+D508+D515+D521+D533</f>
        <v>19218119</v>
      </c>
      <c r="E490" s="23">
        <f>E491+E494+E501+E508+E515+E521+E533</f>
        <v>20103269</v>
      </c>
      <c r="F490" s="23">
        <f>F491+F494+F501+F508+F515+F521+F533</f>
        <v>20076269</v>
      </c>
      <c r="G490" s="23">
        <f>G491+G494+G501+G508+G515+G521+G533</f>
        <v>93100</v>
      </c>
      <c r="H490" s="23">
        <f>H491+H494+H501+H508+H515+H521+H533</f>
        <v>27000</v>
      </c>
      <c r="I490" s="149">
        <f t="shared" si="11"/>
        <v>1.0460580975692781</v>
      </c>
    </row>
    <row r="491" spans="1:9" s="7" customFormat="1" ht="19.5" customHeight="1">
      <c r="A491" s="113" t="s">
        <v>91</v>
      </c>
      <c r="B491" s="51"/>
      <c r="C491" s="51" t="s">
        <v>24</v>
      </c>
      <c r="D491" s="52">
        <f aca="true" t="shared" si="13" ref="D491:F492">D492</f>
        <v>539982</v>
      </c>
      <c r="E491" s="52">
        <f t="shared" si="13"/>
        <v>345000</v>
      </c>
      <c r="F491" s="52">
        <f t="shared" si="13"/>
        <v>345000</v>
      </c>
      <c r="G491" s="52"/>
      <c r="H491" s="52"/>
      <c r="I491" s="129">
        <f t="shared" si="11"/>
        <v>0.6389101858950854</v>
      </c>
    </row>
    <row r="492" spans="1:9" s="7" customFormat="1" ht="19.5" customHeight="1">
      <c r="A492" s="69"/>
      <c r="B492" s="55">
        <v>70005</v>
      </c>
      <c r="C492" s="114" t="s">
        <v>26</v>
      </c>
      <c r="D492" s="56">
        <f t="shared" si="13"/>
        <v>539982</v>
      </c>
      <c r="E492" s="56">
        <f t="shared" si="13"/>
        <v>345000</v>
      </c>
      <c r="F492" s="56">
        <f t="shared" si="13"/>
        <v>345000</v>
      </c>
      <c r="G492" s="56"/>
      <c r="H492" s="56"/>
      <c r="I492" s="130">
        <f t="shared" si="11"/>
        <v>0.6389101858950854</v>
      </c>
    </row>
    <row r="493" spans="1:9" s="7" customFormat="1" ht="19.5" customHeight="1">
      <c r="A493" s="72"/>
      <c r="B493" s="72"/>
      <c r="C493" s="95" t="s">
        <v>92</v>
      </c>
      <c r="D493" s="73">
        <v>539982</v>
      </c>
      <c r="E493" s="73">
        <v>345000</v>
      </c>
      <c r="F493" s="73">
        <v>345000</v>
      </c>
      <c r="G493" s="73"/>
      <c r="H493" s="73"/>
      <c r="I493" s="138">
        <f t="shared" si="11"/>
        <v>0.6389101858950854</v>
      </c>
    </row>
    <row r="494" spans="1:9" s="7" customFormat="1" ht="19.5" customHeight="1">
      <c r="A494" s="51">
        <v>710</v>
      </c>
      <c r="B494" s="51"/>
      <c r="C494" s="51" t="s">
        <v>27</v>
      </c>
      <c r="D494" s="52">
        <f>D495+D497</f>
        <v>491218</v>
      </c>
      <c r="E494" s="52">
        <f>E495+E497</f>
        <v>519125</v>
      </c>
      <c r="F494" s="52">
        <f>F495+F497</f>
        <v>519125</v>
      </c>
      <c r="G494" s="52"/>
      <c r="H494" s="52"/>
      <c r="I494" s="129">
        <f t="shared" si="11"/>
        <v>1.0568118432142144</v>
      </c>
    </row>
    <row r="495" spans="1:9" s="7" customFormat="1" ht="19.5" customHeight="1">
      <c r="A495" s="68"/>
      <c r="B495" s="55">
        <v>71013</v>
      </c>
      <c r="C495" s="55" t="s">
        <v>87</v>
      </c>
      <c r="D495" s="56">
        <f>D496</f>
        <v>90000</v>
      </c>
      <c r="E495" s="56">
        <f>E496</f>
        <v>114000</v>
      </c>
      <c r="F495" s="56">
        <f>F496</f>
        <v>114000</v>
      </c>
      <c r="G495" s="56"/>
      <c r="H495" s="56"/>
      <c r="I495" s="130">
        <f t="shared" si="11"/>
        <v>1.2666666666666666</v>
      </c>
    </row>
    <row r="496" spans="1:9" s="7" customFormat="1" ht="30" customHeight="1">
      <c r="A496" s="68"/>
      <c r="B496" s="72"/>
      <c r="C496" s="87" t="s">
        <v>202</v>
      </c>
      <c r="D496" s="88">
        <v>90000</v>
      </c>
      <c r="E496" s="88">
        <v>114000</v>
      </c>
      <c r="F496" s="88">
        <v>114000</v>
      </c>
      <c r="G496" s="88"/>
      <c r="H496" s="88"/>
      <c r="I496" s="131">
        <f aca="true" t="shared" si="14" ref="I496:I532">E496/D496</f>
        <v>1.2666666666666666</v>
      </c>
    </row>
    <row r="497" spans="1:9" s="7" customFormat="1" ht="19.5" customHeight="1">
      <c r="A497" s="68"/>
      <c r="B497" s="74">
        <v>71015</v>
      </c>
      <c r="C497" s="84" t="s">
        <v>95</v>
      </c>
      <c r="D497" s="75">
        <f>SUM(D498:D500)</f>
        <v>401218</v>
      </c>
      <c r="E497" s="75">
        <f>SUM(E498:E500)</f>
        <v>405125</v>
      </c>
      <c r="F497" s="75">
        <f>SUM(F498:F500)</f>
        <v>405125</v>
      </c>
      <c r="G497" s="75"/>
      <c r="H497" s="75"/>
      <c r="I497" s="139">
        <f t="shared" si="14"/>
        <v>1.0097378482520725</v>
      </c>
    </row>
    <row r="498" spans="1:9" s="7" customFormat="1" ht="19.5" customHeight="1">
      <c r="A498" s="68"/>
      <c r="B498" s="68"/>
      <c r="C498" s="99" t="s">
        <v>326</v>
      </c>
      <c r="D498" s="71">
        <v>273931</v>
      </c>
      <c r="E498" s="71">
        <v>288500</v>
      </c>
      <c r="F498" s="71">
        <v>288500</v>
      </c>
      <c r="G498" s="71"/>
      <c r="H498" s="71"/>
      <c r="I498" s="136">
        <f t="shared" si="14"/>
        <v>1.053184926131033</v>
      </c>
    </row>
    <row r="499" spans="1:9" s="7" customFormat="1" ht="19.5" customHeight="1">
      <c r="A499" s="68"/>
      <c r="B499" s="68"/>
      <c r="C499" s="102" t="s">
        <v>44</v>
      </c>
      <c r="D499" s="77">
        <v>72787</v>
      </c>
      <c r="E499" s="77">
        <v>60025</v>
      </c>
      <c r="F499" s="77">
        <v>60025</v>
      </c>
      <c r="G499" s="77"/>
      <c r="H499" s="77"/>
      <c r="I499" s="137">
        <f t="shared" si="14"/>
        <v>0.824666492642917</v>
      </c>
    </row>
    <row r="500" spans="1:9" s="7" customFormat="1" ht="19.5" customHeight="1">
      <c r="A500" s="72"/>
      <c r="B500" s="72"/>
      <c r="C500" s="106" t="s">
        <v>45</v>
      </c>
      <c r="D500" s="64">
        <v>54500</v>
      </c>
      <c r="E500" s="64">
        <v>56600</v>
      </c>
      <c r="F500" s="64">
        <v>56600</v>
      </c>
      <c r="G500" s="64"/>
      <c r="H500" s="64"/>
      <c r="I500" s="141">
        <f t="shared" si="14"/>
        <v>1.038532110091743</v>
      </c>
    </row>
    <row r="501" spans="1:9" s="7" customFormat="1" ht="19.5" customHeight="1">
      <c r="A501" s="51">
        <v>750</v>
      </c>
      <c r="B501" s="51"/>
      <c r="C501" s="51" t="s">
        <v>30</v>
      </c>
      <c r="D501" s="52">
        <f>D502+D506</f>
        <v>926945</v>
      </c>
      <c r="E501" s="52">
        <f>E502+E506</f>
        <v>940144</v>
      </c>
      <c r="F501" s="52">
        <f>F502+F506</f>
        <v>940144</v>
      </c>
      <c r="G501" s="52"/>
      <c r="H501" s="52"/>
      <c r="I501" s="129">
        <f t="shared" si="14"/>
        <v>1.0142392482833393</v>
      </c>
    </row>
    <row r="502" spans="1:9" s="21" customFormat="1" ht="19.5" customHeight="1">
      <c r="A502" s="98"/>
      <c r="B502" s="93">
        <v>75011</v>
      </c>
      <c r="C502" s="93" t="s">
        <v>82</v>
      </c>
      <c r="D502" s="94">
        <f>SUM(D503:D505)</f>
        <v>809945</v>
      </c>
      <c r="E502" s="94">
        <f>SUM(E503:E505)</f>
        <v>834144</v>
      </c>
      <c r="F502" s="94">
        <f>SUM(F503:F505)</f>
        <v>834144</v>
      </c>
      <c r="G502" s="94"/>
      <c r="H502" s="94"/>
      <c r="I502" s="142">
        <f t="shared" si="14"/>
        <v>1.029877337350067</v>
      </c>
    </row>
    <row r="503" spans="1:9" s="21" customFormat="1" ht="19.5" customHeight="1">
      <c r="A503" s="101"/>
      <c r="B503" s="111"/>
      <c r="C503" s="99" t="s">
        <v>326</v>
      </c>
      <c r="D503" s="100">
        <v>648300</v>
      </c>
      <c r="E503" s="100">
        <v>667770</v>
      </c>
      <c r="F503" s="100">
        <v>667770</v>
      </c>
      <c r="G503" s="100"/>
      <c r="H503" s="100"/>
      <c r="I503" s="144">
        <f t="shared" si="14"/>
        <v>1.030032392410921</v>
      </c>
    </row>
    <row r="504" spans="1:9" s="21" customFormat="1" ht="19.5" customHeight="1">
      <c r="A504" s="101"/>
      <c r="B504" s="101"/>
      <c r="C504" s="102" t="s">
        <v>44</v>
      </c>
      <c r="D504" s="103">
        <v>34145</v>
      </c>
      <c r="E504" s="103">
        <v>35374</v>
      </c>
      <c r="F504" s="103">
        <v>35374</v>
      </c>
      <c r="G504" s="103"/>
      <c r="H504" s="103"/>
      <c r="I504" s="145">
        <f t="shared" si="14"/>
        <v>1.035993556889735</v>
      </c>
    </row>
    <row r="505" spans="1:9" s="21" customFormat="1" ht="19.5" customHeight="1">
      <c r="A505" s="101"/>
      <c r="B505" s="95"/>
      <c r="C505" s="95" t="s">
        <v>45</v>
      </c>
      <c r="D505" s="96">
        <v>127500</v>
      </c>
      <c r="E505" s="96">
        <v>131000</v>
      </c>
      <c r="F505" s="96">
        <v>131000</v>
      </c>
      <c r="G505" s="96"/>
      <c r="H505" s="96"/>
      <c r="I505" s="146">
        <f t="shared" si="14"/>
        <v>1.0274509803921568</v>
      </c>
    </row>
    <row r="506" spans="1:9" s="7" customFormat="1" ht="19.5" customHeight="1">
      <c r="A506" s="68"/>
      <c r="B506" s="74">
        <v>75045</v>
      </c>
      <c r="C506" s="93" t="s">
        <v>96</v>
      </c>
      <c r="D506" s="75">
        <f>D507</f>
        <v>117000</v>
      </c>
      <c r="E506" s="75">
        <f>E507</f>
        <v>106000</v>
      </c>
      <c r="F506" s="75">
        <f>F507</f>
        <v>106000</v>
      </c>
      <c r="G506" s="75"/>
      <c r="H506" s="75"/>
      <c r="I506" s="139">
        <f t="shared" si="14"/>
        <v>0.905982905982906</v>
      </c>
    </row>
    <row r="507" spans="1:9" s="7" customFormat="1" ht="19.5" customHeight="1">
      <c r="A507" s="72"/>
      <c r="B507" s="72"/>
      <c r="C507" s="110" t="s">
        <v>238</v>
      </c>
      <c r="D507" s="73">
        <v>117000</v>
      </c>
      <c r="E507" s="73">
        <v>106000</v>
      </c>
      <c r="F507" s="73">
        <v>106000</v>
      </c>
      <c r="G507" s="73"/>
      <c r="H507" s="73"/>
      <c r="I507" s="138">
        <f t="shared" si="14"/>
        <v>0.905982905982906</v>
      </c>
    </row>
    <row r="508" spans="1:9" s="7" customFormat="1" ht="19.5" customHeight="1">
      <c r="A508" s="112">
        <v>754</v>
      </c>
      <c r="B508" s="51"/>
      <c r="C508" s="109" t="s">
        <v>32</v>
      </c>
      <c r="D508" s="52">
        <f>D509</f>
        <v>11826000</v>
      </c>
      <c r="E508" s="52">
        <f>E509+E513</f>
        <v>12603000</v>
      </c>
      <c r="F508" s="52">
        <f>F509+F513</f>
        <v>12591000</v>
      </c>
      <c r="G508" s="52">
        <f>G509+G513</f>
        <v>93100</v>
      </c>
      <c r="H508" s="52">
        <f>H509+H513</f>
        <v>12000</v>
      </c>
      <c r="I508" s="129">
        <f t="shared" si="14"/>
        <v>1.0657026889903602</v>
      </c>
    </row>
    <row r="509" spans="1:9" s="7" customFormat="1" ht="19.5" customHeight="1">
      <c r="A509" s="68"/>
      <c r="B509" s="74">
        <v>75411</v>
      </c>
      <c r="C509" s="93" t="s">
        <v>33</v>
      </c>
      <c r="D509" s="75">
        <f>SUM(D510:D512)</f>
        <v>11826000</v>
      </c>
      <c r="E509" s="75">
        <f>SUM(E510:E512)</f>
        <v>12591000</v>
      </c>
      <c r="F509" s="75">
        <f>SUM(F510:F512)</f>
        <v>12591000</v>
      </c>
      <c r="G509" s="75">
        <f>SUM(G510:G512)</f>
        <v>93100</v>
      </c>
      <c r="H509" s="75"/>
      <c r="I509" s="139">
        <f t="shared" si="14"/>
        <v>1.0646879756468797</v>
      </c>
    </row>
    <row r="510" spans="1:9" s="21" customFormat="1" ht="19.5" customHeight="1">
      <c r="A510" s="101"/>
      <c r="B510" s="111"/>
      <c r="C510" s="99" t="s">
        <v>326</v>
      </c>
      <c r="D510" s="100">
        <v>8770100</v>
      </c>
      <c r="E510" s="100">
        <v>9552300</v>
      </c>
      <c r="F510" s="100">
        <v>9552300</v>
      </c>
      <c r="G510" s="100"/>
      <c r="H510" s="100"/>
      <c r="I510" s="144">
        <f t="shared" si="14"/>
        <v>1.0891894049098643</v>
      </c>
    </row>
    <row r="511" spans="1:9" s="21" customFormat="1" ht="19.5" customHeight="1">
      <c r="A511" s="101"/>
      <c r="B511" s="101"/>
      <c r="C511" s="102" t="s">
        <v>44</v>
      </c>
      <c r="D511" s="103">
        <v>3026700</v>
      </c>
      <c r="E511" s="103">
        <v>3007700</v>
      </c>
      <c r="F511" s="103">
        <v>3007700</v>
      </c>
      <c r="G511" s="103">
        <f>40000+53100</f>
        <v>93100</v>
      </c>
      <c r="H511" s="103"/>
      <c r="I511" s="145">
        <f t="shared" si="14"/>
        <v>0.9937225360954175</v>
      </c>
    </row>
    <row r="512" spans="1:9" s="21" customFormat="1" ht="19.5" customHeight="1">
      <c r="A512" s="101"/>
      <c r="B512" s="95"/>
      <c r="C512" s="95" t="s">
        <v>45</v>
      </c>
      <c r="D512" s="96">
        <v>29200</v>
      </c>
      <c r="E512" s="96">
        <v>31000</v>
      </c>
      <c r="F512" s="96">
        <v>31000</v>
      </c>
      <c r="G512" s="96"/>
      <c r="H512" s="96"/>
      <c r="I512" s="146">
        <f t="shared" si="14"/>
        <v>1.0616438356164384</v>
      </c>
    </row>
    <row r="513" spans="1:9" s="7" customFormat="1" ht="19.5" customHeight="1">
      <c r="A513" s="68"/>
      <c r="B513" s="74">
        <v>75414</v>
      </c>
      <c r="C513" s="93" t="s">
        <v>83</v>
      </c>
      <c r="D513" s="75"/>
      <c r="E513" s="75">
        <f>E514</f>
        <v>12000</v>
      </c>
      <c r="F513" s="75"/>
      <c r="G513" s="75"/>
      <c r="H513" s="75">
        <f>H514</f>
        <v>12000</v>
      </c>
      <c r="I513" s="139"/>
    </row>
    <row r="514" spans="1:9" s="21" customFormat="1" ht="19.5" customHeight="1">
      <c r="A514" s="95"/>
      <c r="B514" s="111"/>
      <c r="C514" s="99" t="s">
        <v>6</v>
      </c>
      <c r="D514" s="100"/>
      <c r="E514" s="100">
        <v>12000</v>
      </c>
      <c r="F514" s="100"/>
      <c r="G514" s="100"/>
      <c r="H514" s="100">
        <v>12000</v>
      </c>
      <c r="I514" s="144"/>
    </row>
    <row r="515" spans="1:9" s="7" customFormat="1" ht="19.5" customHeight="1">
      <c r="A515" s="50">
        <v>851</v>
      </c>
      <c r="B515" s="50"/>
      <c r="C515" s="50" t="s">
        <v>51</v>
      </c>
      <c r="D515" s="67">
        <f>D518+D516</f>
        <v>2533064</v>
      </c>
      <c r="E515" s="67">
        <f>E518+E516</f>
        <v>2826000</v>
      </c>
      <c r="F515" s="67">
        <f>F518+F516</f>
        <v>2826000</v>
      </c>
      <c r="G515" s="67"/>
      <c r="H515" s="67"/>
      <c r="I515" s="135">
        <f t="shared" si="14"/>
        <v>1.1156449264606028</v>
      </c>
    </row>
    <row r="516" spans="1:10" s="7" customFormat="1" ht="19.5" customHeight="1">
      <c r="A516" s="68"/>
      <c r="B516" s="118">
        <v>85141</v>
      </c>
      <c r="C516" s="115" t="s">
        <v>223</v>
      </c>
      <c r="D516" s="75">
        <f>D517</f>
        <v>116064</v>
      </c>
      <c r="E516" s="75"/>
      <c r="F516" s="75"/>
      <c r="G516" s="75"/>
      <c r="H516" s="75"/>
      <c r="I516" s="139"/>
      <c r="J516" s="43"/>
    </row>
    <row r="517" spans="1:9" s="7" customFormat="1" ht="19.5" customHeight="1">
      <c r="A517" s="68"/>
      <c r="B517" s="86"/>
      <c r="C517" s="162" t="s">
        <v>297</v>
      </c>
      <c r="D517" s="88">
        <v>116064</v>
      </c>
      <c r="E517" s="88"/>
      <c r="F517" s="88"/>
      <c r="G517" s="88"/>
      <c r="H517" s="88"/>
      <c r="I517" s="131"/>
    </row>
    <row r="518" spans="1:10" s="7" customFormat="1" ht="28.5" customHeight="1">
      <c r="A518" s="68"/>
      <c r="B518" s="118">
        <v>85156</v>
      </c>
      <c r="C518" s="115" t="s">
        <v>214</v>
      </c>
      <c r="D518" s="75">
        <f>SUM(D519:D520)</f>
        <v>2417000</v>
      </c>
      <c r="E518" s="75">
        <f>SUM(E519:E520)</f>
        <v>2826000</v>
      </c>
      <c r="F518" s="75">
        <f>SUM(F519:F520)</f>
        <v>2826000</v>
      </c>
      <c r="G518" s="75"/>
      <c r="H518" s="75"/>
      <c r="I518" s="139">
        <f t="shared" si="14"/>
        <v>1.1692180388911875</v>
      </c>
      <c r="J518" s="43"/>
    </row>
    <row r="519" spans="1:9" s="7" customFormat="1" ht="30" customHeight="1">
      <c r="A519" s="68"/>
      <c r="B519" s="68"/>
      <c r="C519" s="116" t="s">
        <v>239</v>
      </c>
      <c r="D519" s="71">
        <v>118000</v>
      </c>
      <c r="E519" s="71">
        <v>114000</v>
      </c>
      <c r="F519" s="71">
        <v>114000</v>
      </c>
      <c r="G519" s="71"/>
      <c r="H519" s="71"/>
      <c r="I519" s="136">
        <f t="shared" si="14"/>
        <v>0.9661016949152542</v>
      </c>
    </row>
    <row r="520" spans="1:9" s="7" customFormat="1" ht="30" customHeight="1">
      <c r="A520" s="72"/>
      <c r="B520" s="72"/>
      <c r="C520" s="110" t="s">
        <v>260</v>
      </c>
      <c r="D520" s="73">
        <v>2299000</v>
      </c>
      <c r="E520" s="73">
        <v>2712000</v>
      </c>
      <c r="F520" s="73">
        <v>2712000</v>
      </c>
      <c r="G520" s="73"/>
      <c r="H520" s="73"/>
      <c r="I520" s="138">
        <f t="shared" si="14"/>
        <v>1.1796433231839931</v>
      </c>
    </row>
    <row r="521" spans="1:9" s="7" customFormat="1" ht="19.5" customHeight="1">
      <c r="A521" s="51">
        <v>852</v>
      </c>
      <c r="B521" s="51"/>
      <c r="C521" s="51" t="s">
        <v>209</v>
      </c>
      <c r="D521" s="52">
        <f>D522+D527+D531+D529</f>
        <v>2344000</v>
      </c>
      <c r="E521" s="52">
        <f>E522+E527+E531</f>
        <v>2374000</v>
      </c>
      <c r="F521" s="52">
        <f>F522+F527+F531</f>
        <v>2363000</v>
      </c>
      <c r="G521" s="52"/>
      <c r="H521" s="52">
        <f>H522+H527+H531</f>
        <v>11000</v>
      </c>
      <c r="I521" s="129">
        <f t="shared" si="14"/>
        <v>1.0127986348122866</v>
      </c>
    </row>
    <row r="522" spans="1:9" s="7" customFormat="1" ht="19.5" customHeight="1">
      <c r="A522" s="68"/>
      <c r="B522" s="55">
        <v>85203</v>
      </c>
      <c r="C522" s="55" t="s">
        <v>56</v>
      </c>
      <c r="D522" s="56">
        <f>SUM(D523:D526)</f>
        <v>2044000</v>
      </c>
      <c r="E522" s="56">
        <f>SUM(E523:E526)</f>
        <v>2123000</v>
      </c>
      <c r="F522" s="56">
        <f>SUM(F523:F526)</f>
        <v>2112000</v>
      </c>
      <c r="G522" s="56"/>
      <c r="H522" s="56">
        <f>SUM(H523:H526)</f>
        <v>11000</v>
      </c>
      <c r="I522" s="130">
        <f t="shared" si="14"/>
        <v>1.0386497064579256</v>
      </c>
    </row>
    <row r="523" spans="1:9" s="7" customFormat="1" ht="30" customHeight="1">
      <c r="A523" s="68"/>
      <c r="B523" s="68"/>
      <c r="C523" s="89" t="s">
        <v>258</v>
      </c>
      <c r="D523" s="71">
        <v>750000</v>
      </c>
      <c r="E523" s="71">
        <v>750000</v>
      </c>
      <c r="F523" s="71">
        <v>750000</v>
      </c>
      <c r="G523" s="71"/>
      <c r="H523" s="71"/>
      <c r="I523" s="136">
        <f t="shared" si="14"/>
        <v>1</v>
      </c>
    </row>
    <row r="524" spans="1:9" s="7" customFormat="1" ht="42" customHeight="1">
      <c r="A524" s="68"/>
      <c r="B524" s="68"/>
      <c r="C524" s="76" t="s">
        <v>259</v>
      </c>
      <c r="D524" s="77">
        <v>1217000</v>
      </c>
      <c r="E524" s="77">
        <v>1200000</v>
      </c>
      <c r="F524" s="77">
        <v>1200000</v>
      </c>
      <c r="G524" s="77"/>
      <c r="H524" s="77"/>
      <c r="I524" s="137">
        <f t="shared" si="14"/>
        <v>0.9860312243221035</v>
      </c>
    </row>
    <row r="525" spans="1:9" s="7" customFormat="1" ht="30" customHeight="1">
      <c r="A525" s="68"/>
      <c r="B525" s="68"/>
      <c r="C525" s="76" t="s">
        <v>315</v>
      </c>
      <c r="D525" s="77">
        <v>27000</v>
      </c>
      <c r="E525" s="77">
        <v>162000</v>
      </c>
      <c r="F525" s="77">
        <v>162000</v>
      </c>
      <c r="G525" s="77"/>
      <c r="H525" s="77"/>
      <c r="I525" s="137">
        <f t="shared" si="14"/>
        <v>6</v>
      </c>
    </row>
    <row r="526" spans="1:9" s="7" customFormat="1" ht="30" customHeight="1">
      <c r="A526" s="72"/>
      <c r="B526" s="72"/>
      <c r="C526" s="85" t="s">
        <v>316</v>
      </c>
      <c r="D526" s="73">
        <v>50000</v>
      </c>
      <c r="E526" s="73">
        <v>11000</v>
      </c>
      <c r="F526" s="73"/>
      <c r="G526" s="73"/>
      <c r="H526" s="73">
        <v>11000</v>
      </c>
      <c r="I526" s="141">
        <f t="shared" si="14"/>
        <v>0.22</v>
      </c>
    </row>
    <row r="527" spans="1:9" s="7" customFormat="1" ht="31.5" customHeight="1">
      <c r="A527" s="68"/>
      <c r="B527" s="74">
        <v>85212</v>
      </c>
      <c r="C527" s="84" t="s">
        <v>314</v>
      </c>
      <c r="D527" s="75">
        <f>SUM(D528:D528)</f>
        <v>32789</v>
      </c>
      <c r="E527" s="75">
        <f>SUM(E528:E528)</f>
        <v>17000</v>
      </c>
      <c r="F527" s="75">
        <f>SUM(F528:F528)</f>
        <v>17000</v>
      </c>
      <c r="G527" s="75"/>
      <c r="H527" s="75"/>
      <c r="I527" s="139">
        <f t="shared" si="14"/>
        <v>0.5184665589069505</v>
      </c>
    </row>
    <row r="528" spans="1:9" s="7" customFormat="1" ht="19.5" customHeight="1">
      <c r="A528" s="68"/>
      <c r="B528" s="72"/>
      <c r="C528" s="82" t="s">
        <v>264</v>
      </c>
      <c r="D528" s="64">
        <v>32789</v>
      </c>
      <c r="E528" s="64">
        <v>17000</v>
      </c>
      <c r="F528" s="64">
        <v>17000</v>
      </c>
      <c r="G528" s="64"/>
      <c r="H528" s="64"/>
      <c r="I528" s="141">
        <f t="shared" si="14"/>
        <v>0.5184665589069505</v>
      </c>
    </row>
    <row r="529" spans="1:9" s="7" customFormat="1" ht="19.5" customHeight="1">
      <c r="A529" s="68"/>
      <c r="B529" s="74">
        <v>85216</v>
      </c>
      <c r="C529" s="84" t="s">
        <v>136</v>
      </c>
      <c r="D529" s="75">
        <f>D530</f>
        <v>11211</v>
      </c>
      <c r="E529" s="75"/>
      <c r="F529" s="75"/>
      <c r="G529" s="75"/>
      <c r="H529" s="75"/>
      <c r="I529" s="139"/>
    </row>
    <row r="530" spans="1:9" s="7" customFormat="1" ht="19.5" customHeight="1">
      <c r="A530" s="68"/>
      <c r="B530" s="72"/>
      <c r="C530" s="82" t="s">
        <v>298</v>
      </c>
      <c r="D530" s="64">
        <v>11211</v>
      </c>
      <c r="E530" s="64"/>
      <c r="F530" s="64"/>
      <c r="G530" s="64"/>
      <c r="H530" s="64"/>
      <c r="I530" s="141"/>
    </row>
    <row r="531" spans="1:9" s="7" customFormat="1" ht="19.5" customHeight="1">
      <c r="A531" s="68"/>
      <c r="B531" s="74">
        <v>85231</v>
      </c>
      <c r="C531" s="74" t="s">
        <v>166</v>
      </c>
      <c r="D531" s="75">
        <f>D532</f>
        <v>256000</v>
      </c>
      <c r="E531" s="75">
        <f>E532</f>
        <v>234000</v>
      </c>
      <c r="F531" s="75">
        <f>F532</f>
        <v>234000</v>
      </c>
      <c r="G531" s="75"/>
      <c r="H531" s="75"/>
      <c r="I531" s="139">
        <f t="shared" si="14"/>
        <v>0.9140625</v>
      </c>
    </row>
    <row r="532" spans="1:9" s="7" customFormat="1" ht="19.5" customHeight="1">
      <c r="A532" s="72"/>
      <c r="B532" s="86"/>
      <c r="C532" s="87" t="s">
        <v>240</v>
      </c>
      <c r="D532" s="88">
        <v>256000</v>
      </c>
      <c r="E532" s="88">
        <v>234000</v>
      </c>
      <c r="F532" s="88">
        <v>234000</v>
      </c>
      <c r="G532" s="88"/>
      <c r="H532" s="88"/>
      <c r="I532" s="131">
        <f t="shared" si="14"/>
        <v>0.9140625</v>
      </c>
    </row>
    <row r="533" spans="1:9" s="7" customFormat="1" ht="19.5" customHeight="1">
      <c r="A533" s="51">
        <v>853</v>
      </c>
      <c r="B533" s="51"/>
      <c r="C533" s="51" t="s">
        <v>210</v>
      </c>
      <c r="D533" s="52">
        <f>D534+D539</f>
        <v>556910</v>
      </c>
      <c r="E533" s="52">
        <f>E534+E539</f>
        <v>496000</v>
      </c>
      <c r="F533" s="52">
        <f>F534+F539</f>
        <v>492000</v>
      </c>
      <c r="G533" s="52"/>
      <c r="H533" s="52">
        <f>H534+H539</f>
        <v>4000</v>
      </c>
      <c r="I533" s="129">
        <f aca="true" t="shared" si="15" ref="I533:I538">E533/D533</f>
        <v>0.8906286473577418</v>
      </c>
    </row>
    <row r="534" spans="1:9" s="7" customFormat="1" ht="19.5" customHeight="1">
      <c r="A534" s="68"/>
      <c r="B534" s="74">
        <v>85321</v>
      </c>
      <c r="C534" s="74" t="s">
        <v>211</v>
      </c>
      <c r="D534" s="75">
        <f>SUM(D535:D538)</f>
        <v>509000</v>
      </c>
      <c r="E534" s="75">
        <f>SUM(E535:E538)</f>
        <v>496000</v>
      </c>
      <c r="F534" s="75">
        <f>SUM(F535:F538)</f>
        <v>492000</v>
      </c>
      <c r="G534" s="75"/>
      <c r="H534" s="75">
        <f>SUM(H535:H538)</f>
        <v>4000</v>
      </c>
      <c r="I534" s="139">
        <f t="shared" si="15"/>
        <v>0.9744597249508841</v>
      </c>
    </row>
    <row r="535" spans="1:9" s="7" customFormat="1" ht="19.5" customHeight="1">
      <c r="A535" s="68"/>
      <c r="B535" s="69"/>
      <c r="C535" s="89" t="s">
        <v>326</v>
      </c>
      <c r="D535" s="71">
        <f>256374+100000</f>
        <v>356374</v>
      </c>
      <c r="E535" s="71">
        <f>265000+110000</f>
        <v>375000</v>
      </c>
      <c r="F535" s="71">
        <f>265000+110000</f>
        <v>375000</v>
      </c>
      <c r="G535" s="71"/>
      <c r="H535" s="71"/>
      <c r="I535" s="136">
        <f t="shared" si="15"/>
        <v>1.0522653167739509</v>
      </c>
    </row>
    <row r="536" spans="1:9" s="7" customFormat="1" ht="19.5" customHeight="1">
      <c r="A536" s="68"/>
      <c r="B536" s="68"/>
      <c r="C536" s="76" t="s">
        <v>44</v>
      </c>
      <c r="D536" s="77">
        <f>189326-100000</f>
        <v>89326</v>
      </c>
      <c r="E536" s="77">
        <f>170000-110000</f>
        <v>60000</v>
      </c>
      <c r="F536" s="77">
        <f>170000-110000</f>
        <v>60000</v>
      </c>
      <c r="G536" s="77"/>
      <c r="H536" s="77"/>
      <c r="I536" s="137">
        <f t="shared" si="15"/>
        <v>0.6716969303450283</v>
      </c>
    </row>
    <row r="537" spans="1:9" s="7" customFormat="1" ht="19.5" customHeight="1">
      <c r="A537" s="68"/>
      <c r="B537" s="68"/>
      <c r="C537" s="81" t="s">
        <v>45</v>
      </c>
      <c r="D537" s="80">
        <v>55300</v>
      </c>
      <c r="E537" s="80">
        <v>57000</v>
      </c>
      <c r="F537" s="80">
        <v>57000</v>
      </c>
      <c r="G537" s="80"/>
      <c r="H537" s="80"/>
      <c r="I537" s="140">
        <f t="shared" si="15"/>
        <v>1.030741410488246</v>
      </c>
    </row>
    <row r="538" spans="1:9" s="7" customFormat="1" ht="19.5" customHeight="1">
      <c r="A538" s="68"/>
      <c r="B538" s="72"/>
      <c r="C538" s="63" t="s">
        <v>6</v>
      </c>
      <c r="D538" s="64">
        <v>8000</v>
      </c>
      <c r="E538" s="64">
        <v>4000</v>
      </c>
      <c r="F538" s="64"/>
      <c r="G538" s="64"/>
      <c r="H538" s="64">
        <v>4000</v>
      </c>
      <c r="I538" s="141">
        <f t="shared" si="15"/>
        <v>0.5</v>
      </c>
    </row>
    <row r="539" spans="1:9" s="7" customFormat="1" ht="19.5" customHeight="1">
      <c r="A539" s="68"/>
      <c r="B539" s="74">
        <v>85334</v>
      </c>
      <c r="C539" s="74" t="s">
        <v>193</v>
      </c>
      <c r="D539" s="75">
        <f>D540</f>
        <v>47910</v>
      </c>
      <c r="E539" s="75"/>
      <c r="F539" s="75"/>
      <c r="G539" s="75"/>
      <c r="H539" s="75"/>
      <c r="I539" s="139"/>
    </row>
    <row r="540" spans="1:9" s="7" customFormat="1" ht="19.5" customHeight="1">
      <c r="A540" s="72"/>
      <c r="B540" s="72"/>
      <c r="C540" s="72" t="s">
        <v>237</v>
      </c>
      <c r="D540" s="73">
        <v>47910</v>
      </c>
      <c r="E540" s="73"/>
      <c r="F540" s="73"/>
      <c r="G540" s="73"/>
      <c r="H540" s="73"/>
      <c r="I540" s="138"/>
    </row>
    <row r="541" spans="1:9" ht="19.5" customHeight="1">
      <c r="A541" s="79"/>
      <c r="B541" s="79"/>
      <c r="C541" s="79"/>
      <c r="D541" s="79"/>
      <c r="E541" s="79"/>
      <c r="F541" s="79"/>
      <c r="G541" s="79"/>
      <c r="H541" s="79"/>
      <c r="I541" s="150"/>
    </row>
    <row r="542" spans="1:9" ht="19.5" customHeight="1">
      <c r="A542" s="79"/>
      <c r="B542" s="79"/>
      <c r="C542" s="206" t="s">
        <v>334</v>
      </c>
      <c r="D542" s="207"/>
      <c r="E542" s="208" t="s">
        <v>335</v>
      </c>
      <c r="F542" s="79"/>
      <c r="G542" s="79"/>
      <c r="H542" s="79"/>
      <c r="I542" s="150"/>
    </row>
    <row r="543" spans="1:9" ht="19.5" customHeight="1">
      <c r="A543" s="79"/>
      <c r="B543" s="79"/>
      <c r="C543" s="206" t="s">
        <v>336</v>
      </c>
      <c r="D543" s="207"/>
      <c r="E543" s="208" t="s">
        <v>337</v>
      </c>
      <c r="F543" s="79"/>
      <c r="G543" s="79"/>
      <c r="H543" s="79"/>
      <c r="I543" s="150"/>
    </row>
    <row r="544" spans="1:9" ht="19.5" customHeight="1">
      <c r="A544" s="79"/>
      <c r="B544" s="79"/>
      <c r="C544" s="209"/>
      <c r="D544" s="207"/>
      <c r="E544" s="208" t="s">
        <v>338</v>
      </c>
      <c r="F544" s="79"/>
      <c r="G544" s="79"/>
      <c r="H544" s="79"/>
      <c r="I544" s="150"/>
    </row>
    <row r="545" spans="1:9" ht="19.5" customHeight="1">
      <c r="A545" s="79"/>
      <c r="B545" s="79"/>
      <c r="C545" s="209"/>
      <c r="D545" s="207"/>
      <c r="E545" s="207"/>
      <c r="F545" s="79"/>
      <c r="G545" s="79"/>
      <c r="H545" s="79"/>
      <c r="I545" s="150"/>
    </row>
    <row r="546" spans="1:9" ht="19.5" customHeight="1">
      <c r="A546" s="79"/>
      <c r="B546" s="79"/>
      <c r="C546" s="79"/>
      <c r="D546" s="79"/>
      <c r="E546" s="79"/>
      <c r="F546" s="79"/>
      <c r="G546" s="79"/>
      <c r="H546" s="79"/>
      <c r="I546" s="150"/>
    </row>
    <row r="547" spans="1:9" ht="19.5" customHeight="1">
      <c r="A547" s="79"/>
      <c r="B547" s="79"/>
      <c r="C547" s="79"/>
      <c r="D547" s="79"/>
      <c r="E547" s="79"/>
      <c r="F547" s="79"/>
      <c r="G547" s="79"/>
      <c r="H547" s="79"/>
      <c r="I547" s="150"/>
    </row>
    <row r="548" spans="1:9" ht="19.5" customHeight="1">
      <c r="A548" s="79"/>
      <c r="B548" s="79"/>
      <c r="C548" s="79"/>
      <c r="D548" s="79"/>
      <c r="E548" s="79"/>
      <c r="F548" s="79"/>
      <c r="G548" s="79"/>
      <c r="H548" s="79"/>
      <c r="I548" s="150"/>
    </row>
    <row r="549" spans="1:9" ht="19.5" customHeight="1">
      <c r="A549" s="79"/>
      <c r="B549" s="79"/>
      <c r="C549" s="79"/>
      <c r="D549" s="79"/>
      <c r="E549" s="79"/>
      <c r="F549" s="79"/>
      <c r="G549" s="79"/>
      <c r="H549" s="79"/>
      <c r="I549" s="150"/>
    </row>
    <row r="550" spans="1:9" ht="19.5" customHeight="1">
      <c r="A550" s="79"/>
      <c r="B550" s="79"/>
      <c r="C550" s="79"/>
      <c r="D550" s="79"/>
      <c r="E550" s="79"/>
      <c r="F550" s="79"/>
      <c r="G550" s="79"/>
      <c r="H550" s="79"/>
      <c r="I550" s="150"/>
    </row>
    <row r="551" spans="1:9" ht="19.5" customHeight="1">
      <c r="A551" s="79"/>
      <c r="B551" s="79"/>
      <c r="C551" s="79"/>
      <c r="D551" s="79"/>
      <c r="E551" s="79"/>
      <c r="F551" s="79"/>
      <c r="G551" s="79"/>
      <c r="H551" s="79"/>
      <c r="I551" s="150"/>
    </row>
    <row r="552" spans="1:9" ht="19.5" customHeight="1">
      <c r="A552" s="79"/>
      <c r="B552" s="79"/>
      <c r="C552" s="79"/>
      <c r="D552" s="79"/>
      <c r="E552" s="79"/>
      <c r="F552" s="79"/>
      <c r="G552" s="79"/>
      <c r="H552" s="79"/>
      <c r="I552" s="150"/>
    </row>
    <row r="553" spans="1:9" ht="19.5" customHeight="1">
      <c r="A553" s="79"/>
      <c r="B553" s="79"/>
      <c r="C553" s="79"/>
      <c r="D553" s="79"/>
      <c r="E553" s="79"/>
      <c r="F553" s="79"/>
      <c r="G553" s="79"/>
      <c r="H553" s="79"/>
      <c r="I553" s="150"/>
    </row>
    <row r="554" spans="1:9" ht="19.5" customHeight="1">
      <c r="A554" s="79"/>
      <c r="B554" s="79"/>
      <c r="C554" s="79"/>
      <c r="D554" s="79"/>
      <c r="E554" s="79"/>
      <c r="F554" s="79"/>
      <c r="G554" s="79"/>
      <c r="H554" s="79"/>
      <c r="I554" s="150"/>
    </row>
    <row r="555" spans="1:9" ht="19.5" customHeight="1">
      <c r="A555" s="79"/>
      <c r="B555" s="79"/>
      <c r="C555" s="79"/>
      <c r="D555" s="79"/>
      <c r="E555" s="79"/>
      <c r="F555" s="79"/>
      <c r="G555" s="79"/>
      <c r="H555" s="79"/>
      <c r="I555" s="150"/>
    </row>
    <row r="556" spans="1:9" ht="19.5" customHeight="1">
      <c r="A556" s="79"/>
      <c r="B556" s="79"/>
      <c r="C556" s="79"/>
      <c r="D556" s="79"/>
      <c r="E556" s="79"/>
      <c r="F556" s="79"/>
      <c r="G556" s="79"/>
      <c r="H556" s="79"/>
      <c r="I556" s="150"/>
    </row>
    <row r="557" spans="1:9" ht="19.5" customHeight="1">
      <c r="A557" s="79"/>
      <c r="B557" s="79"/>
      <c r="C557" s="79"/>
      <c r="D557" s="79"/>
      <c r="E557" s="79"/>
      <c r="F557" s="79"/>
      <c r="G557" s="79"/>
      <c r="H557" s="79"/>
      <c r="I557" s="150"/>
    </row>
    <row r="558" spans="1:9" ht="19.5" customHeight="1">
      <c r="A558" s="79"/>
      <c r="B558" s="79"/>
      <c r="C558" s="79"/>
      <c r="D558" s="79"/>
      <c r="E558" s="79"/>
      <c r="F558" s="79"/>
      <c r="G558" s="79"/>
      <c r="H558" s="79"/>
      <c r="I558" s="150"/>
    </row>
    <row r="559" spans="1:9" ht="19.5" customHeight="1">
      <c r="A559" s="79"/>
      <c r="B559" s="79"/>
      <c r="C559" s="79"/>
      <c r="D559" s="79"/>
      <c r="E559" s="79"/>
      <c r="F559" s="79"/>
      <c r="G559" s="79"/>
      <c r="H559" s="79"/>
      <c r="I559" s="150"/>
    </row>
    <row r="560" spans="1:9" ht="19.5" customHeight="1">
      <c r="A560" s="79"/>
      <c r="B560" s="79"/>
      <c r="C560" s="79"/>
      <c r="D560" s="79"/>
      <c r="E560" s="79"/>
      <c r="F560" s="79"/>
      <c r="G560" s="79"/>
      <c r="H560" s="79"/>
      <c r="I560" s="150"/>
    </row>
    <row r="561" spans="1:9" ht="19.5" customHeight="1">
      <c r="A561" s="79"/>
      <c r="B561" s="79"/>
      <c r="C561" s="79"/>
      <c r="D561" s="79"/>
      <c r="E561" s="79"/>
      <c r="F561" s="79"/>
      <c r="G561" s="79"/>
      <c r="H561" s="79"/>
      <c r="I561" s="150"/>
    </row>
    <row r="562" spans="1:9" ht="19.5" customHeight="1">
      <c r="A562" s="79"/>
      <c r="B562" s="79"/>
      <c r="C562" s="79"/>
      <c r="D562" s="79"/>
      <c r="E562" s="79"/>
      <c r="F562" s="79"/>
      <c r="G562" s="79"/>
      <c r="H562" s="79"/>
      <c r="I562" s="150"/>
    </row>
    <row r="563" spans="1:9" ht="19.5" customHeight="1">
      <c r="A563" s="79"/>
      <c r="B563" s="79"/>
      <c r="C563" s="79"/>
      <c r="D563" s="79"/>
      <c r="E563" s="79"/>
      <c r="F563" s="79"/>
      <c r="G563" s="79"/>
      <c r="H563" s="79"/>
      <c r="I563" s="150"/>
    </row>
    <row r="564" spans="1:9" ht="19.5" customHeight="1">
      <c r="A564" s="79"/>
      <c r="B564" s="79"/>
      <c r="C564" s="79"/>
      <c r="D564" s="79"/>
      <c r="E564" s="79"/>
      <c r="F564" s="79"/>
      <c r="G564" s="79"/>
      <c r="H564" s="79"/>
      <c r="I564" s="150"/>
    </row>
    <row r="565" spans="1:9" ht="19.5" customHeight="1">
      <c r="A565" s="79"/>
      <c r="B565" s="79"/>
      <c r="C565" s="79"/>
      <c r="D565" s="79"/>
      <c r="E565" s="79"/>
      <c r="F565" s="79"/>
      <c r="G565" s="79"/>
      <c r="H565" s="79"/>
      <c r="I565" s="150"/>
    </row>
    <row r="566" spans="1:9" ht="19.5" customHeight="1">
      <c r="A566" s="79"/>
      <c r="B566" s="79"/>
      <c r="C566" s="79"/>
      <c r="D566" s="79"/>
      <c r="E566" s="79"/>
      <c r="F566" s="79"/>
      <c r="G566" s="79"/>
      <c r="H566" s="79"/>
      <c r="I566" s="150"/>
    </row>
    <row r="567" spans="1:9" ht="19.5" customHeight="1">
      <c r="A567" s="79"/>
      <c r="B567" s="79"/>
      <c r="C567" s="79"/>
      <c r="D567" s="79"/>
      <c r="E567" s="79"/>
      <c r="F567" s="79"/>
      <c r="G567" s="79"/>
      <c r="H567" s="79"/>
      <c r="I567" s="150"/>
    </row>
    <row r="568" spans="1:9" ht="19.5" customHeight="1">
      <c r="A568" s="79"/>
      <c r="B568" s="79"/>
      <c r="C568" s="79"/>
      <c r="D568" s="79"/>
      <c r="E568" s="79"/>
      <c r="F568" s="79"/>
      <c r="G568" s="79"/>
      <c r="H568" s="79"/>
      <c r="I568" s="150"/>
    </row>
    <row r="569" spans="1:9" ht="19.5" customHeight="1">
      <c r="A569" s="79"/>
      <c r="B569" s="79"/>
      <c r="C569" s="79"/>
      <c r="D569" s="79"/>
      <c r="E569" s="79"/>
      <c r="F569" s="79"/>
      <c r="G569" s="79"/>
      <c r="H569" s="79"/>
      <c r="I569" s="150"/>
    </row>
    <row r="570" spans="1:9" ht="19.5" customHeight="1">
      <c r="A570" s="79"/>
      <c r="B570" s="79"/>
      <c r="C570" s="79"/>
      <c r="D570" s="79"/>
      <c r="E570" s="79"/>
      <c r="F570" s="79"/>
      <c r="G570" s="79"/>
      <c r="H570" s="79"/>
      <c r="I570" s="150"/>
    </row>
    <row r="571" spans="1:9" ht="19.5" customHeight="1">
      <c r="A571" s="79"/>
      <c r="B571" s="79"/>
      <c r="C571" s="79"/>
      <c r="D571" s="79"/>
      <c r="E571" s="79"/>
      <c r="F571" s="79"/>
      <c r="G571" s="79"/>
      <c r="H571" s="79"/>
      <c r="I571" s="150"/>
    </row>
    <row r="572" spans="1:9" ht="19.5" customHeight="1">
      <c r="A572" s="79"/>
      <c r="B572" s="79"/>
      <c r="C572" s="79"/>
      <c r="D572" s="79"/>
      <c r="E572" s="79"/>
      <c r="F572" s="79"/>
      <c r="G572" s="79"/>
      <c r="H572" s="79"/>
      <c r="I572" s="150"/>
    </row>
    <row r="573" spans="1:9" ht="19.5" customHeight="1">
      <c r="A573" s="79"/>
      <c r="B573" s="79"/>
      <c r="C573" s="79"/>
      <c r="D573" s="79"/>
      <c r="E573" s="79"/>
      <c r="F573" s="79"/>
      <c r="G573" s="79"/>
      <c r="H573" s="79"/>
      <c r="I573" s="150"/>
    </row>
    <row r="574" spans="1:9" ht="19.5" customHeight="1">
      <c r="A574" s="79"/>
      <c r="B574" s="79"/>
      <c r="C574" s="79"/>
      <c r="D574" s="79"/>
      <c r="E574" s="79"/>
      <c r="F574" s="79"/>
      <c r="G574" s="79"/>
      <c r="H574" s="79"/>
      <c r="I574" s="150"/>
    </row>
    <row r="575" spans="1:9" ht="19.5" customHeight="1">
      <c r="A575" s="79"/>
      <c r="B575" s="79"/>
      <c r="C575" s="79"/>
      <c r="D575" s="79"/>
      <c r="E575" s="79"/>
      <c r="F575" s="79"/>
      <c r="G575" s="79"/>
      <c r="H575" s="79"/>
      <c r="I575" s="150"/>
    </row>
    <row r="576" spans="1:9" ht="19.5" customHeight="1">
      <c r="A576" s="79"/>
      <c r="B576" s="79"/>
      <c r="C576" s="79"/>
      <c r="D576" s="79"/>
      <c r="E576" s="79"/>
      <c r="F576" s="79"/>
      <c r="G576" s="79"/>
      <c r="H576" s="79"/>
      <c r="I576" s="150"/>
    </row>
    <row r="577" spans="1:9" ht="19.5" customHeight="1">
      <c r="A577" s="79"/>
      <c r="B577" s="79"/>
      <c r="C577" s="79"/>
      <c r="D577" s="79"/>
      <c r="E577" s="79"/>
      <c r="F577" s="79"/>
      <c r="G577" s="79"/>
      <c r="H577" s="79"/>
      <c r="I577" s="150"/>
    </row>
    <row r="578" spans="1:9" ht="19.5" customHeight="1">
      <c r="A578" s="79"/>
      <c r="B578" s="79"/>
      <c r="C578" s="79"/>
      <c r="D578" s="79"/>
      <c r="E578" s="79"/>
      <c r="F578" s="79"/>
      <c r="G578" s="79"/>
      <c r="H578" s="79"/>
      <c r="I578" s="150"/>
    </row>
    <row r="579" spans="1:9" ht="19.5" customHeight="1">
      <c r="A579" s="79"/>
      <c r="B579" s="79"/>
      <c r="C579" s="79"/>
      <c r="D579" s="79"/>
      <c r="E579" s="79"/>
      <c r="F579" s="79"/>
      <c r="G579" s="79"/>
      <c r="H579" s="79"/>
      <c r="I579" s="150"/>
    </row>
    <row r="580" spans="1:9" ht="19.5" customHeight="1">
      <c r="A580" s="79"/>
      <c r="B580" s="79"/>
      <c r="C580" s="79"/>
      <c r="D580" s="79"/>
      <c r="E580" s="79"/>
      <c r="F580" s="79"/>
      <c r="G580" s="79"/>
      <c r="H580" s="79"/>
      <c r="I580" s="150"/>
    </row>
    <row r="581" spans="1:9" ht="19.5" customHeight="1">
      <c r="A581" s="79"/>
      <c r="B581" s="79"/>
      <c r="C581" s="79"/>
      <c r="D581" s="79"/>
      <c r="E581" s="79"/>
      <c r="F581" s="79"/>
      <c r="G581" s="79"/>
      <c r="H581" s="79"/>
      <c r="I581" s="150"/>
    </row>
    <row r="582" spans="1:9" ht="19.5" customHeight="1">
      <c r="A582" s="79"/>
      <c r="B582" s="79"/>
      <c r="C582" s="79"/>
      <c r="D582" s="79"/>
      <c r="E582" s="79"/>
      <c r="F582" s="79"/>
      <c r="G582" s="79"/>
      <c r="H582" s="79"/>
      <c r="I582" s="150"/>
    </row>
    <row r="583" spans="1:9" ht="19.5" customHeight="1">
      <c r="A583" s="79"/>
      <c r="B583" s="79"/>
      <c r="C583" s="79"/>
      <c r="D583" s="79"/>
      <c r="E583" s="79"/>
      <c r="F583" s="79"/>
      <c r="G583" s="79"/>
      <c r="H583" s="79"/>
      <c r="I583" s="150"/>
    </row>
    <row r="584" spans="1:9" ht="19.5" customHeight="1">
      <c r="A584" s="79"/>
      <c r="B584" s="79"/>
      <c r="C584" s="79"/>
      <c r="D584" s="79"/>
      <c r="E584" s="79"/>
      <c r="F584" s="79"/>
      <c r="G584" s="79"/>
      <c r="H584" s="79"/>
      <c r="I584" s="150"/>
    </row>
    <row r="585" spans="1:9" ht="19.5" customHeight="1">
      <c r="A585" s="79"/>
      <c r="B585" s="79"/>
      <c r="C585" s="79"/>
      <c r="D585" s="79"/>
      <c r="E585" s="79"/>
      <c r="F585" s="79"/>
      <c r="G585" s="79"/>
      <c r="H585" s="79"/>
      <c r="I585" s="150"/>
    </row>
    <row r="586" spans="1:9" ht="19.5" customHeight="1">
      <c r="A586" s="79"/>
      <c r="B586" s="79"/>
      <c r="C586" s="79"/>
      <c r="D586" s="79"/>
      <c r="E586" s="79"/>
      <c r="F586" s="79"/>
      <c r="G586" s="79"/>
      <c r="H586" s="79"/>
      <c r="I586" s="150"/>
    </row>
    <row r="587" spans="1:9" ht="19.5" customHeight="1">
      <c r="A587" s="79"/>
      <c r="B587" s="79"/>
      <c r="C587" s="79"/>
      <c r="D587" s="79"/>
      <c r="E587" s="79"/>
      <c r="F587" s="79"/>
      <c r="G587" s="79"/>
      <c r="H587" s="79"/>
      <c r="I587" s="150"/>
    </row>
    <row r="588" spans="1:9" ht="19.5" customHeight="1">
      <c r="A588" s="79"/>
      <c r="B588" s="79"/>
      <c r="C588" s="79"/>
      <c r="D588" s="79"/>
      <c r="E588" s="79"/>
      <c r="F588" s="79"/>
      <c r="G588" s="79"/>
      <c r="H588" s="79"/>
      <c r="I588" s="150"/>
    </row>
    <row r="589" spans="1:9" ht="19.5" customHeight="1">
      <c r="A589" s="79"/>
      <c r="B589" s="79"/>
      <c r="C589" s="79"/>
      <c r="D589" s="79"/>
      <c r="E589" s="79"/>
      <c r="F589" s="79"/>
      <c r="G589" s="79"/>
      <c r="H589" s="79"/>
      <c r="I589" s="150"/>
    </row>
    <row r="590" spans="1:9" ht="19.5" customHeight="1">
      <c r="A590" s="79"/>
      <c r="B590" s="79"/>
      <c r="C590" s="79"/>
      <c r="D590" s="79"/>
      <c r="E590" s="79"/>
      <c r="F590" s="79"/>
      <c r="G590" s="79"/>
      <c r="H590" s="79"/>
      <c r="I590" s="150"/>
    </row>
    <row r="591" spans="1:9" ht="30" customHeight="1">
      <c r="A591" s="79"/>
      <c r="B591" s="79"/>
      <c r="C591" s="79"/>
      <c r="D591" s="79"/>
      <c r="E591" s="79"/>
      <c r="F591" s="79"/>
      <c r="G591" s="79"/>
      <c r="H591" s="79"/>
      <c r="I591" s="150"/>
    </row>
    <row r="592" spans="1:9" ht="30" customHeight="1">
      <c r="A592" s="79"/>
      <c r="B592" s="79"/>
      <c r="C592" s="79"/>
      <c r="D592" s="79"/>
      <c r="E592" s="79"/>
      <c r="F592" s="79"/>
      <c r="G592" s="79"/>
      <c r="H592" s="79"/>
      <c r="I592" s="150"/>
    </row>
    <row r="593" spans="1:9" ht="30" customHeight="1">
      <c r="A593" s="79"/>
      <c r="B593" s="79"/>
      <c r="C593" s="79"/>
      <c r="D593" s="79"/>
      <c r="E593" s="79"/>
      <c r="F593" s="79"/>
      <c r="G593" s="79"/>
      <c r="H593" s="79"/>
      <c r="I593" s="150"/>
    </row>
    <row r="594" spans="1:9" ht="30" customHeight="1">
      <c r="A594" s="79"/>
      <c r="B594" s="79"/>
      <c r="C594" s="79"/>
      <c r="D594" s="79"/>
      <c r="E594" s="79"/>
      <c r="F594" s="79"/>
      <c r="G594" s="79"/>
      <c r="H594" s="79"/>
      <c r="I594" s="150"/>
    </row>
    <row r="595" spans="1:9" ht="30" customHeight="1">
      <c r="A595" s="79"/>
      <c r="B595" s="79"/>
      <c r="C595" s="79"/>
      <c r="D595" s="79"/>
      <c r="E595" s="79"/>
      <c r="F595" s="79"/>
      <c r="G595" s="79"/>
      <c r="H595" s="79"/>
      <c r="I595" s="150"/>
    </row>
    <row r="596" spans="1:9" ht="30" customHeight="1">
      <c r="A596" s="79"/>
      <c r="B596" s="79"/>
      <c r="C596" s="79"/>
      <c r="D596" s="79"/>
      <c r="E596" s="79"/>
      <c r="F596" s="79"/>
      <c r="G596" s="79"/>
      <c r="H596" s="79"/>
      <c r="I596" s="150"/>
    </row>
    <row r="597" spans="1:9" ht="30" customHeight="1">
      <c r="A597" s="79"/>
      <c r="B597" s="79"/>
      <c r="C597" s="79"/>
      <c r="D597" s="79"/>
      <c r="E597" s="79"/>
      <c r="F597" s="79"/>
      <c r="G597" s="79"/>
      <c r="H597" s="79"/>
      <c r="I597" s="150"/>
    </row>
    <row r="598" spans="1:9" ht="30" customHeight="1">
      <c r="A598" s="79"/>
      <c r="B598" s="79"/>
      <c r="C598" s="79"/>
      <c r="D598" s="79"/>
      <c r="E598" s="79"/>
      <c r="F598" s="79"/>
      <c r="G598" s="79"/>
      <c r="H598" s="79"/>
      <c r="I598" s="150"/>
    </row>
    <row r="599" spans="1:9" ht="30" customHeight="1">
      <c r="A599" s="79"/>
      <c r="B599" s="79"/>
      <c r="C599" s="79"/>
      <c r="D599" s="79"/>
      <c r="E599" s="79"/>
      <c r="F599" s="79"/>
      <c r="G599" s="79"/>
      <c r="H599" s="79"/>
      <c r="I599" s="150"/>
    </row>
    <row r="600" spans="1:9" ht="30" customHeight="1">
      <c r="A600" s="79"/>
      <c r="B600" s="79"/>
      <c r="C600" s="79"/>
      <c r="D600" s="79"/>
      <c r="E600" s="79"/>
      <c r="F600" s="79"/>
      <c r="G600" s="79"/>
      <c r="H600" s="79"/>
      <c r="I600" s="150"/>
    </row>
    <row r="601" spans="1:9" ht="30" customHeight="1">
      <c r="A601" s="79"/>
      <c r="B601" s="79"/>
      <c r="C601" s="79"/>
      <c r="D601" s="79"/>
      <c r="E601" s="79"/>
      <c r="F601" s="79"/>
      <c r="G601" s="79"/>
      <c r="H601" s="79"/>
      <c r="I601" s="150"/>
    </row>
    <row r="602" spans="1:9" ht="30" customHeight="1">
      <c r="A602" s="79"/>
      <c r="B602" s="79"/>
      <c r="C602" s="79"/>
      <c r="D602" s="79"/>
      <c r="E602" s="79"/>
      <c r="F602" s="79"/>
      <c r="G602" s="79"/>
      <c r="H602" s="79"/>
      <c r="I602" s="150"/>
    </row>
    <row r="603" spans="1:9" ht="33" customHeight="1">
      <c r="A603" s="79"/>
      <c r="B603" s="79"/>
      <c r="C603" s="79"/>
      <c r="D603" s="79"/>
      <c r="E603" s="79"/>
      <c r="F603" s="79"/>
      <c r="G603" s="79"/>
      <c r="H603" s="79"/>
      <c r="I603" s="150"/>
    </row>
    <row r="604" spans="1:9" ht="29.25" customHeight="1">
      <c r="A604" s="79"/>
      <c r="B604" s="79"/>
      <c r="C604" s="79"/>
      <c r="D604" s="79"/>
      <c r="E604" s="79"/>
      <c r="F604" s="79"/>
      <c r="G604" s="79"/>
      <c r="H604" s="79"/>
      <c r="I604" s="150"/>
    </row>
    <row r="605" spans="1:9" ht="23.25" customHeight="1">
      <c r="A605" s="79"/>
      <c r="B605" s="79"/>
      <c r="C605" s="79"/>
      <c r="D605" s="79"/>
      <c r="E605" s="79"/>
      <c r="F605" s="79"/>
      <c r="G605" s="79"/>
      <c r="H605" s="79"/>
      <c r="I605" s="150"/>
    </row>
    <row r="606" spans="1:9" ht="33.75" customHeight="1">
      <c r="A606" s="79"/>
      <c r="B606" s="79"/>
      <c r="C606" s="79"/>
      <c r="D606" s="79"/>
      <c r="E606" s="79"/>
      <c r="F606" s="79"/>
      <c r="G606" s="79"/>
      <c r="H606" s="79"/>
      <c r="I606" s="150"/>
    </row>
    <row r="607" spans="1:9" ht="33" customHeight="1">
      <c r="A607" s="79"/>
      <c r="B607" s="79"/>
      <c r="C607" s="79"/>
      <c r="D607" s="79"/>
      <c r="E607" s="79"/>
      <c r="F607" s="79"/>
      <c r="G607" s="79"/>
      <c r="H607" s="79"/>
      <c r="I607" s="150"/>
    </row>
    <row r="608" spans="1:9" ht="30" customHeight="1">
      <c r="A608" s="79"/>
      <c r="B608" s="79"/>
      <c r="C608" s="79"/>
      <c r="D608" s="79"/>
      <c r="E608" s="79"/>
      <c r="F608" s="79"/>
      <c r="G608" s="79"/>
      <c r="H608" s="79"/>
      <c r="I608" s="150"/>
    </row>
    <row r="609" spans="1:9" ht="30" customHeight="1">
      <c r="A609" s="79"/>
      <c r="B609" s="79"/>
      <c r="C609" s="79"/>
      <c r="D609" s="79"/>
      <c r="E609" s="79"/>
      <c r="F609" s="79"/>
      <c r="G609" s="79"/>
      <c r="H609" s="79"/>
      <c r="I609" s="150"/>
    </row>
    <row r="610" spans="1:9" ht="31.5" customHeight="1">
      <c r="A610" s="79"/>
      <c r="B610" s="79"/>
      <c r="C610" s="79"/>
      <c r="D610" s="79"/>
      <c r="E610" s="79"/>
      <c r="F610" s="79"/>
      <c r="G610" s="79"/>
      <c r="H610" s="79"/>
      <c r="I610" s="150"/>
    </row>
    <row r="611" spans="1:9" ht="33.75" customHeight="1">
      <c r="A611" s="79"/>
      <c r="B611" s="79"/>
      <c r="C611" s="79"/>
      <c r="D611" s="79"/>
      <c r="E611" s="79"/>
      <c r="F611" s="79"/>
      <c r="G611" s="79"/>
      <c r="H611" s="79"/>
      <c r="I611" s="150"/>
    </row>
    <row r="612" spans="1:9" ht="30" customHeight="1">
      <c r="A612" s="79"/>
      <c r="B612" s="79"/>
      <c r="C612" s="79"/>
      <c r="D612" s="79"/>
      <c r="E612" s="79"/>
      <c r="F612" s="79"/>
      <c r="G612" s="79"/>
      <c r="H612" s="79"/>
      <c r="I612" s="150"/>
    </row>
    <row r="613" spans="1:9" ht="30" customHeight="1">
      <c r="A613" s="79"/>
      <c r="B613" s="79"/>
      <c r="C613" s="79"/>
      <c r="D613" s="79"/>
      <c r="E613" s="79"/>
      <c r="F613" s="79"/>
      <c r="G613" s="79"/>
      <c r="H613" s="79"/>
      <c r="I613" s="150"/>
    </row>
    <row r="614" spans="1:9" ht="33.75" customHeight="1">
      <c r="A614" s="79"/>
      <c r="B614" s="79"/>
      <c r="C614" s="79"/>
      <c r="D614" s="117"/>
      <c r="E614" s="117"/>
      <c r="F614" s="117"/>
      <c r="G614" s="117"/>
      <c r="H614" s="117"/>
      <c r="I614" s="150"/>
    </row>
    <row r="615" spans="1:9" ht="30" customHeight="1">
      <c r="A615" s="79"/>
      <c r="B615" s="79"/>
      <c r="C615" s="79"/>
      <c r="D615" s="117"/>
      <c r="E615" s="117"/>
      <c r="F615" s="117"/>
      <c r="G615" s="117"/>
      <c r="H615" s="117"/>
      <c r="I615" s="150"/>
    </row>
    <row r="616" ht="39.75" customHeight="1"/>
    <row r="617" ht="47.25" customHeight="1"/>
    <row r="618" ht="35.25" customHeight="1"/>
    <row r="619" ht="35.25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48.75" customHeight="1"/>
    <row r="637" ht="48.75" customHeight="1"/>
    <row r="638" ht="48.75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106.5" customHeight="1"/>
    <row r="656" ht="77.25" customHeight="1"/>
    <row r="657" ht="30" customHeight="1"/>
    <row r="658" ht="28.5" customHeight="1"/>
    <row r="659" ht="30" customHeight="1"/>
    <row r="660" ht="21.75" customHeight="1"/>
    <row r="661" ht="30" customHeight="1"/>
    <row r="662" ht="30" customHeight="1"/>
    <row r="663" ht="27.75" customHeight="1"/>
    <row r="664" ht="33" customHeight="1"/>
    <row r="665" ht="32.25" customHeight="1"/>
    <row r="666" ht="21" customHeight="1"/>
    <row r="667" ht="30" customHeight="1"/>
    <row r="668" ht="24" customHeight="1"/>
    <row r="669" ht="24.75" customHeight="1"/>
    <row r="670" ht="24.75" customHeight="1"/>
    <row r="671" ht="26.25" customHeight="1"/>
    <row r="672" ht="24" customHeight="1"/>
    <row r="673" ht="24" customHeight="1"/>
    <row r="674" ht="24.75" customHeight="1"/>
    <row r="675" ht="33.75" customHeight="1"/>
    <row r="676" ht="33.75" customHeight="1"/>
    <row r="677" ht="39.75" customHeight="1"/>
    <row r="678" spans="1:9" s="5" customFormat="1" ht="21.75" customHeight="1">
      <c r="A678" s="3"/>
      <c r="B678" s="3"/>
      <c r="C678" s="3"/>
      <c r="D678" s="6"/>
      <c r="E678" s="6"/>
      <c r="F678" s="6"/>
      <c r="G678" s="6"/>
      <c r="H678" s="6"/>
      <c r="I678" s="125"/>
    </row>
    <row r="679" ht="24.75" customHeight="1"/>
    <row r="680" ht="49.5" customHeight="1"/>
    <row r="681" ht="30.75" customHeight="1"/>
    <row r="682" ht="27.75" customHeight="1"/>
  </sheetData>
  <printOptions horizontalCentered="1"/>
  <pageMargins left="0.5905511811023623" right="0.5905511811023623" top="0.6692913385826772" bottom="0.6692913385826772" header="0.5118110236220472" footer="0.5118110236220472"/>
  <pageSetup firstPageNumber="24" useFirstPageNumber="1" horizontalDpi="300" verticalDpi="300" orientation="landscape" paperSize="9" scale="80" r:id="rId2"/>
  <headerFooter alignWithMargins="0">
    <oddHeader>&amp;L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2004-11-10T13:15:48Z</cp:lastPrinted>
  <dcterms:created xsi:type="dcterms:W3CDTF">1999-10-19T16:53:41Z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