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l1" sheetId="1" r:id="rId1"/>
    <sheet name="Zal2" sheetId="2" r:id="rId2"/>
    <sheet name="Zal3" sheetId="3" r:id="rId3"/>
    <sheet name="Zal4" sheetId="4" r:id="rId4"/>
    <sheet name="Zal5" sheetId="5" r:id="rId5"/>
    <sheet name="Zal6" sheetId="6" r:id="rId6"/>
    <sheet name="Zal7" sheetId="7" r:id="rId7"/>
    <sheet name="Zal8" sheetId="8" r:id="rId8"/>
    <sheet name="Zal9" sheetId="9" r:id="rId9"/>
  </sheets>
  <definedNames>
    <definedName name="_xlnm.Print_Area" localSheetId="0">'Zal1'!$A$1:$Q$58</definedName>
    <definedName name="_xlnm.Print_Titles" localSheetId="0">'Zal1'!$7:$7</definedName>
    <definedName name="_xlnm.Print_Titles" localSheetId="1">'Zal2'!$8:$8</definedName>
    <definedName name="_xlnm.Print_Titles" localSheetId="2">'Zal3'!$6:$6</definedName>
    <definedName name="_xlnm.Print_Titles" localSheetId="3">'Zal4'!$4:$8</definedName>
    <definedName name="_xlnm.Print_Titles" localSheetId="4">'Zal5'!$7:$7</definedName>
    <definedName name="_xlnm.Print_Titles" localSheetId="5">'Zal6'!$7:$7</definedName>
    <definedName name="_xlnm.Print_Titles" localSheetId="7">'Zal8'!$7:$7</definedName>
  </definedNames>
  <calcPr fullCalcOnLoad="1"/>
</workbook>
</file>

<file path=xl/sharedStrings.xml><?xml version="1.0" encoding="utf-8"?>
<sst xmlns="http://schemas.openxmlformats.org/spreadsheetml/2006/main" count="569" uniqueCount="349">
  <si>
    <t xml:space="preserve"> </t>
  </si>
  <si>
    <t>Załącznik Nr 1</t>
  </si>
  <si>
    <t>do autopoprawki</t>
  </si>
  <si>
    <t xml:space="preserve">Dochody </t>
  </si>
  <si>
    <t>w złotych</t>
  </si>
  <si>
    <t xml:space="preserve">Treść   </t>
  </si>
  <si>
    <t>Plan 
na 2004 rok 
wg projektu</t>
  </si>
  <si>
    <t>Zmiany</t>
  </si>
  <si>
    <t>Plan 
na 2004 rok po zmianach</t>
  </si>
  <si>
    <t>Dział</t>
  </si>
  <si>
    <t xml:space="preserve">Rozdz.      </t>
  </si>
  <si>
    <t>(nazwa działu, rozdziału, źródła dochodów)</t>
  </si>
  <si>
    <t>Dochody budżetu miasta ogółem</t>
  </si>
  <si>
    <t>z tego:</t>
  </si>
  <si>
    <r>
      <t>I. Dochody gminy ogółem</t>
    </r>
    <r>
      <rPr>
        <i/>
        <sz val="11"/>
        <rFont val="Arial CE"/>
        <family val="2"/>
      </rPr>
      <t>, z tego:</t>
    </r>
  </si>
  <si>
    <t xml:space="preserve">Dochody własne </t>
  </si>
  <si>
    <t>Gospodarka mieszkaniowa</t>
  </si>
  <si>
    <t>Gospodarka gruntami i nieruchomościami</t>
  </si>
  <si>
    <t>wpływy z dzierżawy gruntów</t>
  </si>
  <si>
    <t>wpływy z tytułu odpłatnego korzystania z mienia (dzierżawa, najem)</t>
  </si>
  <si>
    <t>sprzedaż mieszkań komunalnych</t>
  </si>
  <si>
    <t>sprzedaż składników majątkowych</t>
  </si>
  <si>
    <t>Administracja publiczna</t>
  </si>
  <si>
    <t>Urzędy miast i miast na prawach powiatu</t>
  </si>
  <si>
    <t>wpłata nadwyżki środków środka specjalnego "Egzekucja administracyjna"</t>
  </si>
  <si>
    <t>Bezpieczeństwo publiczne i ochrona przeciwpożarowa</t>
  </si>
  <si>
    <t>Straż Miejska</t>
  </si>
  <si>
    <t>wpływy z mandatów nakładanych przez Straż Miejską</t>
  </si>
  <si>
    <t>Dochody od osób prawnych, od osób fizycznych i od innych jednostek 
nieposiadających osobowości prawnej oraz wydatki związane z ich poborem</t>
  </si>
  <si>
    <t>Wpływy z podatku rolnego, podatku leśnego, podatku od czynności 
cywilnoprawnych, podatku od spadków i darowizn oraz podatków i opłat 
lokalnych</t>
  </si>
  <si>
    <t>podatek od nieruchomości</t>
  </si>
  <si>
    <t>Oświata i wychowanie</t>
  </si>
  <si>
    <t>Szkoły podstawowe</t>
  </si>
  <si>
    <t>opłata za duplikaty świadectw i legitymacji</t>
  </si>
  <si>
    <t>Gimnazja</t>
  </si>
  <si>
    <t xml:space="preserve">Subwencje </t>
  </si>
  <si>
    <t>Dotacje celowe i inne środki na zadania własne</t>
  </si>
  <si>
    <t>Kultura fizyczna i sport</t>
  </si>
  <si>
    <t>Obiekty sportowe</t>
  </si>
  <si>
    <t>środki z Ministerstwa Edukacji Narodowej i Sportu na modernizację stadionu 
przy Al. Zygmuntowskich 5</t>
  </si>
  <si>
    <t>środki z Ministerstwa Edukacji Narodowej i Sportu na modernizację hali sportowej 
przy Al. Zygmuntowskich 4</t>
  </si>
  <si>
    <t>Dotacje celowe na zadania realizowane w drodze porozumień i umów</t>
  </si>
  <si>
    <t>Dotacje celowe z budżetu państwa na zadania zlecone 
z zakresu administracji rządowej</t>
  </si>
  <si>
    <r>
      <t>II. Dochody powiatu ogółem</t>
    </r>
    <r>
      <rPr>
        <i/>
        <sz val="11"/>
        <rFont val="Arial CE"/>
        <family val="2"/>
      </rPr>
      <t>, z tego:</t>
    </r>
  </si>
  <si>
    <t>Dochody własne</t>
  </si>
  <si>
    <t xml:space="preserve">Gospodarka mieszkaniowa </t>
  </si>
  <si>
    <t>Gospodarka gruntami  i nieruchomościami</t>
  </si>
  <si>
    <t>wpływy z odpłatnego korzystania z mienia (najem)</t>
  </si>
  <si>
    <t>Licea ogólnokształcące</t>
  </si>
  <si>
    <t>Szkoły zawodowe</t>
  </si>
  <si>
    <t>Centra kształcenia ustawicznego i praktycznego oraz ośrodki dokształcania zawodowego</t>
  </si>
  <si>
    <t>Kultura i ochrona dziedzictwa narodowego</t>
  </si>
  <si>
    <t>Teatry dramatyczne i lalkowe</t>
  </si>
  <si>
    <t>dotacja celowa z budżetu państwa na organizację II Międzynarodowego Festiwalu Teatralnego Tradycji Bożonarodzeniowej "Betlejem Lubelskie"</t>
  </si>
  <si>
    <t xml:space="preserve">Dotacje celowe z budżetu państwa na zadania z zakresu administracji rządowej </t>
  </si>
  <si>
    <t>Załącznik Nr 2</t>
  </si>
  <si>
    <t>do autoporawki</t>
  </si>
  <si>
    <t xml:space="preserve">Wydatki </t>
  </si>
  <si>
    <t>Plan</t>
  </si>
  <si>
    <t>Treść</t>
  </si>
  <si>
    <t>na 2004 rok</t>
  </si>
  <si>
    <t xml:space="preserve">  wydatki bieżące</t>
  </si>
  <si>
    <t>wydatki</t>
  </si>
  <si>
    <t>Rozdz.</t>
  </si>
  <si>
    <t>(nazwa działu, rozdziału, zadania)</t>
  </si>
  <si>
    <t>wg projektu</t>
  </si>
  <si>
    <t>po zmianach</t>
  </si>
  <si>
    <t>ogółem</t>
  </si>
  <si>
    <t>w tym: remonty</t>
  </si>
  <si>
    <t>majątkowe</t>
  </si>
  <si>
    <t>Wydatki budżetu miasta ogółem</t>
  </si>
  <si>
    <t>Wydatki na zadania własne</t>
  </si>
  <si>
    <t>Transport i łączność</t>
  </si>
  <si>
    <t>Drogi publiczne w miastach na prawach powiatu</t>
  </si>
  <si>
    <t>inwestycje</t>
  </si>
  <si>
    <t>Drogi publiczne gminne</t>
  </si>
  <si>
    <t>bieżące utrzymanie dróg</t>
  </si>
  <si>
    <t>Turystyka</t>
  </si>
  <si>
    <t>Ośrodki informacji turystycznej</t>
  </si>
  <si>
    <t>dotacja dla Lubelskiego Ośrodka Informacji Turystycznej</t>
  </si>
  <si>
    <t>w tym: promocja miasta - 50.000 zł</t>
  </si>
  <si>
    <t>Zakłady gospodarki mieszkaniowej</t>
  </si>
  <si>
    <t>dotacja dla Zarządu Nieruchomości Komunalnych, w tym:</t>
  </si>
  <si>
    <t xml:space="preserve">prace specjalistyczne i konserwatorskie w budynkach w obrębie Starego Miasta </t>
  </si>
  <si>
    <t>wydatki związane z utrzymaniem zasobów komunalnych, sprzedażą mienia komunalnego oraz szacunki nieruchomości</t>
  </si>
  <si>
    <t>w tym: remonty zasobów komunalnych</t>
  </si>
  <si>
    <t>Towarzystwa budownictwa społecznego</t>
  </si>
  <si>
    <t>wydatki majątkowe</t>
  </si>
  <si>
    <t>Pozostała działalność</t>
  </si>
  <si>
    <t>promocja miasta, w tym poprzez sport - 200.000 zł</t>
  </si>
  <si>
    <t>Komendy powiatowe Policji</t>
  </si>
  <si>
    <t>dofinansowanie działań na rzecz utrzymania bezpieczeństwa 
w mieście z przeznaczeniem na dofinansowanie budowy komisariatu IV Policji</t>
  </si>
  <si>
    <t>system monitoringu w mieście</t>
  </si>
  <si>
    <t>Różne rozliczenia</t>
  </si>
  <si>
    <t>Rezerwy ogólne i celowe</t>
  </si>
  <si>
    <t>rezerwa budżetowa</t>
  </si>
  <si>
    <t>wydatki rzeczowe, w tym:</t>
  </si>
  <si>
    <t>remonty szkół</t>
  </si>
  <si>
    <t>dotacje dla niepublicznych szkół podstawowych</t>
  </si>
  <si>
    <t>Przedszkola</t>
  </si>
  <si>
    <t>przedszkola, w tym:</t>
  </si>
  <si>
    <t>dotacje dla przedszkoli publicznych i niepublicznych</t>
  </si>
  <si>
    <t>dotacje dla gimnazjów publicznych i niepublicznych</t>
  </si>
  <si>
    <t xml:space="preserve">dotacje dla publicznych i niepublicznych liceów </t>
  </si>
  <si>
    <t xml:space="preserve">Szkoły zawodowe </t>
  </si>
  <si>
    <t>dotacje dla publicznych i niepublicznych szkół zawodowych</t>
  </si>
  <si>
    <t>Ochrona zdrowia</t>
  </si>
  <si>
    <t>Lecznictwo ambulatoryjne</t>
  </si>
  <si>
    <t>Pomoc społeczna</t>
  </si>
  <si>
    <t>Placówki opiekuńczo-wychowacze</t>
  </si>
  <si>
    <t>dotacje dla niepublicznych placówek opiekuńczo-wychowawczych</t>
  </si>
  <si>
    <t>Domy pomocy społecznej</t>
  </si>
  <si>
    <t>wynagrodzenia osobowe</t>
  </si>
  <si>
    <t>wydatki rzeczowe</t>
  </si>
  <si>
    <t>pochodne od wynagrodzeń</t>
  </si>
  <si>
    <t xml:space="preserve">Zasiłki i pomoc w naturze oraz składki na ubezpieczenia społeczne </t>
  </si>
  <si>
    <t>świadczenia społeczne</t>
  </si>
  <si>
    <t>Ośrodki pomocy społecznej</t>
  </si>
  <si>
    <t xml:space="preserve">remonty </t>
  </si>
  <si>
    <t>pomoc osobom bezdomnym, matkom samotnie wychowującym dzieci, kobietom zagrożonym przemocą domową</t>
  </si>
  <si>
    <t xml:space="preserve">dożywianie uczniów </t>
  </si>
  <si>
    <t>Edukacyjna opieka wychowawcza</t>
  </si>
  <si>
    <t>Specjalne ośrodki szkolno - wychowawcze</t>
  </si>
  <si>
    <t>dotacje dla niepublicznych ośrodków szkolno-wychowawczych</t>
  </si>
  <si>
    <t>Internaty i bursy szkolne</t>
  </si>
  <si>
    <t xml:space="preserve">dotacje dla niepublicznych burs i internatów </t>
  </si>
  <si>
    <t xml:space="preserve">Gospodarka komunalna i ochrona środowiska </t>
  </si>
  <si>
    <t>Oświetlenie ulic, placów i dróg</t>
  </si>
  <si>
    <t>Pozostałe zadania w zakresie kultury</t>
  </si>
  <si>
    <t>upowszechnianie kultury i sztuki</t>
  </si>
  <si>
    <t>w tym: wyposażenie muszli koncertowej - 20.000 zł</t>
  </si>
  <si>
    <t>dotacja dla Teatru H. Ch. Andersena</t>
  </si>
  <si>
    <t>Centra kultury i sztuki</t>
  </si>
  <si>
    <t>dotacja dla Centrum Kultury</t>
  </si>
  <si>
    <t>Instytucje kultury fizycznej</t>
  </si>
  <si>
    <t>dotacja dla MOSiR "Bystrzyca"</t>
  </si>
  <si>
    <t>Zadania w zakresie kultury fizycznej i sportu</t>
  </si>
  <si>
    <t>zadania w zakresie upowszechniania kultury fizycznej</t>
  </si>
  <si>
    <t>zajęcia sportowo - rekreacyjne w szkołach</t>
  </si>
  <si>
    <t>Wydatki na zadania realizowane na podstawie porozumień i umów</t>
  </si>
  <si>
    <t>Wydatki na zadania zlecone</t>
  </si>
  <si>
    <t>Załącznik Nr 3</t>
  </si>
  <si>
    <t xml:space="preserve">Przychody i rozchody </t>
  </si>
  <si>
    <t xml:space="preserve">         </t>
  </si>
  <si>
    <t>§</t>
  </si>
  <si>
    <t>Przychody 
na 2004 rok 
wg projektu</t>
  </si>
  <si>
    <t>Przychody
 na 2004 rok
po zmianach</t>
  </si>
  <si>
    <t xml:space="preserve"> Rozchody 
na 2004 rok</t>
  </si>
  <si>
    <t>Ogółem</t>
  </si>
  <si>
    <t>Przychody z zaciągniętych pożyczek i kredytów na rynku krajowym</t>
  </si>
  <si>
    <t>Pożyczki i kredyty</t>
  </si>
  <si>
    <t>Informacje uzupełniające</t>
  </si>
  <si>
    <t xml:space="preserve">I Pokrycie deficytu budżetowego - 29.006.000 zł </t>
  </si>
  <si>
    <t xml:space="preserve">  1) pożyczki i kredyty - 29.006.000 zł</t>
  </si>
  <si>
    <t>II Finansowanie rozchodów</t>
  </si>
  <si>
    <t xml:space="preserve">  1) wykup obligacji w kwocie 11.000.000 zł sfinansowany zostanie z:</t>
  </si>
  <si>
    <t xml:space="preserve">      - dochodów własnych budżetu miasta w kwocie 11.000.000 zł</t>
  </si>
  <si>
    <t xml:space="preserve">  2) spłata kredytów i pożyczek w kwocie 3.950.000 zł sfinansowana zostanie z:</t>
  </si>
  <si>
    <t xml:space="preserve">      - wpływów ze sprzedaży udziałów Przedsiębiorstwa Piekarskiego Sp. z o.o. w kwocie 3.500.000 zł</t>
  </si>
  <si>
    <t xml:space="preserve">      - dochodów własnych budżetu miasta w kwocie 450.000 zł</t>
  </si>
  <si>
    <t>Załącznik Nr 4</t>
  </si>
  <si>
    <t>Wydatki majątkowe</t>
  </si>
  <si>
    <t xml:space="preserve">Wielkość </t>
  </si>
  <si>
    <t>Wydatki</t>
  </si>
  <si>
    <t xml:space="preserve">   Nazwa: działu, rozdziału, </t>
  </si>
  <si>
    <t>Zakres rzeczowy</t>
  </si>
  <si>
    <t>Lata</t>
  </si>
  <si>
    <t xml:space="preserve">Wartość </t>
  </si>
  <si>
    <t>zrealizo-</t>
  </si>
  <si>
    <t>ze środków</t>
  </si>
  <si>
    <t>z kredytów,</t>
  </si>
  <si>
    <t xml:space="preserve">ze </t>
  </si>
  <si>
    <t xml:space="preserve">                 zadania inwestycyjnego</t>
  </si>
  <si>
    <t>realizacji</t>
  </si>
  <si>
    <t>kosztory-</t>
  </si>
  <si>
    <t xml:space="preserve">wanych </t>
  </si>
  <si>
    <t xml:space="preserve">własnych </t>
  </si>
  <si>
    <t xml:space="preserve">pożyczek </t>
  </si>
  <si>
    <t>środków</t>
  </si>
  <si>
    <t>sowa</t>
  </si>
  <si>
    <t>nakładów</t>
  </si>
  <si>
    <t>budżetu miasta</t>
  </si>
  <si>
    <t>i innych środków</t>
  </si>
  <si>
    <t>budżetu państwa</t>
  </si>
  <si>
    <t>Ogółem wydatki majątkowe</t>
  </si>
  <si>
    <t xml:space="preserve">budowa i modernizacja zatok, chodników, parkingów i kładek dla pieszych </t>
  </si>
  <si>
    <t>roboty budowlane, w tym: kładka nad ul. Lwowską oraz wykonanie 1 zatoki w ul. Nałęczowskiej</t>
  </si>
  <si>
    <t>przebudowa skrzyżowań wraz z sygnalizacjami świetlnymi</t>
  </si>
  <si>
    <t>budowa sygnalizacji na przejściu przez al. Warszawską przy ul. Gen. Zajączka, wykonanie dokumentacji sygnalizacji (przyciskowej) na skrzyżowaniu ulic: Droga Męczenników Majdanka - L. Herc</t>
  </si>
  <si>
    <t>ścieżki rowerowe</t>
  </si>
  <si>
    <t>roboty budowlane, w tym ścieżka łącząca al. Spółdzielczości Pracy z ul. Bazylianówka; dokumentacja techniczna w celu pozyskania środków z Unii Europejskiej</t>
  </si>
  <si>
    <t>1996-2005</t>
  </si>
  <si>
    <t>budowa połączeń ulic i ciągów pieszych</t>
  </si>
  <si>
    <t>budowa chodnika od os. Górki do przystanku końcowego MPK przy ul. Filaretów, włączenie ul. Szczyglej do ul. Grabskiego, połączenie ul. Agrestowej z ul. Porzeczkową</t>
  </si>
  <si>
    <t>zakupy inwestycyjne</t>
  </si>
  <si>
    <t>zakup sprzętu multimedialnego</t>
  </si>
  <si>
    <t>modernizacje budynków</t>
  </si>
  <si>
    <t xml:space="preserve">ocieplenie budynku przy ul. Glinianej 5, przebudowa kanalizacji sanitarnej - wg potrzeb, wykonanie podjazdów dla osób niepełnosprawnych do budynków niepublicznych ZOZ </t>
  </si>
  <si>
    <t>udział w Towarzystwie Budownictwa Społecznego "Nowy Dom" - budownictwo mieszkaniowe</t>
  </si>
  <si>
    <t>budowa budynków wielorodzinnych przy 
ul. Kazimierza Jagiellończyka w os. Felin</t>
  </si>
  <si>
    <t>2003-2005</t>
  </si>
  <si>
    <t>budownictwo mieszkaniowe komunalne 
i socjalne</t>
  </si>
  <si>
    <t>kontynuacja budowy 3 budynków komunalnych w os. Felin</t>
  </si>
  <si>
    <t>dofinansowanie budowy komisariatu IV Policji</t>
  </si>
  <si>
    <t>dofinansowanie budowy komisariatu prowadzonej przez WKP</t>
  </si>
  <si>
    <t>wdrożenie systemu monitoringu: montaż 8 kamer i urządzeń transmisji radiowej</t>
  </si>
  <si>
    <t>2002-2005</t>
  </si>
  <si>
    <t>Szkoła Podstawowa Nr 39 przy ul. Krężnickiej</t>
  </si>
  <si>
    <t xml:space="preserve">budowa szkoły - rozpoczęcie </t>
  </si>
  <si>
    <t>2001-2005</t>
  </si>
  <si>
    <t>Szkoła Podstawowa Nr 52 w os. Felin</t>
  </si>
  <si>
    <t>sala gimnastyczna - stan surowy otwarty</t>
  </si>
  <si>
    <t>1997-2005</t>
  </si>
  <si>
    <t>Gimnazjum Nr 3</t>
  </si>
  <si>
    <t xml:space="preserve">kontynuacja budowy segmentu gimnazjum </t>
  </si>
  <si>
    <t>budowa gimnazjum przy ul. Roztocze</t>
  </si>
  <si>
    <t>kontynuacja budowy segmentu gimnazjum</t>
  </si>
  <si>
    <t>modernizacje przychodni</t>
  </si>
  <si>
    <t>dostosowanie pomieszczeń Miejskiej Przychodni Zdrowia Nr 1 przy ul. Hipotecznej do opieki całodobowej</t>
  </si>
  <si>
    <t>zakup sprzętu i aparatury medycznej do szkolnych gabinetów stomatologicznych</t>
  </si>
  <si>
    <t>Ośrodki pomocy spolecznej</t>
  </si>
  <si>
    <t>zakup komputera</t>
  </si>
  <si>
    <t>Gospodarka komunalna i ochrona środowiska</t>
  </si>
  <si>
    <t>oświetlenie ulic</t>
  </si>
  <si>
    <t>oświetlenie ulic: Berberysowej, Abramowickiej, Przelot</t>
  </si>
  <si>
    <t>inwestycje realizowane przy udziale mieszkańców</t>
  </si>
  <si>
    <t>urządzanie placów zabaw</t>
  </si>
  <si>
    <t>urządzenie placu zabaw przy Przedszkolu 
Nr 34 przy ul. Motorowej oraz przy 
ul. Koryznowej 2B</t>
  </si>
  <si>
    <t>wyposażenie muszli koncertowej</t>
  </si>
  <si>
    <t>boiska osiedlowe</t>
  </si>
  <si>
    <t>zakończenie budowy boiska w os. Kalinowszczyzna "F", budowa boiska w wąwozie przy ul. Lwowskiej</t>
  </si>
  <si>
    <t>modernizacja stadionu przy 
Al. Zygmuntowskich 5</t>
  </si>
  <si>
    <t>przebudowa pawilonu spikersko-sędziowskiego i trybuny przylegającej</t>
  </si>
  <si>
    <t>modernizacja hali sportowej przy 
Al. Zygmuntowskich 4</t>
  </si>
  <si>
    <t>przebudowa systemu monitoringu 
i sanitariatów</t>
  </si>
  <si>
    <t>Załącznik Nr 5</t>
  </si>
  <si>
    <t>Remonty</t>
  </si>
  <si>
    <t xml:space="preserve">Nazwa: działu, rozdziału, zadania </t>
  </si>
  <si>
    <t>Okres realizacji</t>
  </si>
  <si>
    <t>Plan na 2004 rok 
  wg projektu</t>
  </si>
  <si>
    <t xml:space="preserve">Plan na 2004 rok po zmianach </t>
  </si>
  <si>
    <t>Ogółem remonty</t>
  </si>
  <si>
    <t>Zadania własne</t>
  </si>
  <si>
    <t>prace specjalistyczne i konserwatorskie w budynkach
w obrębie Starego Miasta</t>
  </si>
  <si>
    <t>remont filii Nr 21 Miejskiej Biblioteki Publicznej</t>
  </si>
  <si>
    <t>remonty zasobów komunalnych</t>
  </si>
  <si>
    <t>roboty ogólnobudowlane, w tym budynku przy ul. Uniwersyteckiej 10</t>
  </si>
  <si>
    <t xml:space="preserve">remonty szkół </t>
  </si>
  <si>
    <t xml:space="preserve">m.in.: demontaż sufitu podwieszonego, zabezpieczenie antykorozyjne stropów, wymiana wentylacji w Szkole Podstawowej Nr 22 i 30 oraz usuwanie awarii </t>
  </si>
  <si>
    <t>m.in.: demontaż sufitu podwieszonego, zabezpieczenie antykorozyjne stropów, wymiana wentylacji w XIX LO oraz usuwanie awarii</t>
  </si>
  <si>
    <t>remonty obiektów Miejskiego Ośrodka Pomocy Rodzinie</t>
  </si>
  <si>
    <t>prace malarskie, wymiana stolarki okiennej, remont filii MOPR Nr 5 pod potrzeby Ośrodka Wsparcia dla Osób Starszych</t>
  </si>
  <si>
    <t>Załącznik Nr 6</t>
  </si>
  <si>
    <t>Przychody i wydatki zakładów budżetowych, gospodarstw pomocniczych i środków specjalnych</t>
  </si>
  <si>
    <t>w  złotych</t>
  </si>
  <si>
    <t xml:space="preserve">   Przychody na 2004 rok wg projektu</t>
  </si>
  <si>
    <t xml:space="preserve"> Przychody na 2004 rok po zmianach</t>
  </si>
  <si>
    <t>Wydatki na 2004 rok 
wg projektu</t>
  </si>
  <si>
    <t>Wydatki na 2004 rok 
po zmianach</t>
  </si>
  <si>
    <t>Przychody własne</t>
  </si>
  <si>
    <t xml:space="preserve">Dotacja          z budżetu                                </t>
  </si>
  <si>
    <t>Stawka dotacji</t>
  </si>
  <si>
    <t xml:space="preserve">Zakres dotacji </t>
  </si>
  <si>
    <t>w tym:             wynagrodzenia  osobowe</t>
  </si>
  <si>
    <t xml:space="preserve">Zadania własne </t>
  </si>
  <si>
    <t xml:space="preserve">Razem zakłady budżetowe </t>
  </si>
  <si>
    <t>Lubelski Ośrodek Informacji Turystycznej</t>
  </si>
  <si>
    <t>stawka na 1 klienta
 - 3,09 zł</t>
  </si>
  <si>
    <t>Zarząd Nieruchomości Komunalnych</t>
  </si>
  <si>
    <t>wg stawek ogłoszonych w Biuletynie Cen Scalonych Robót</t>
  </si>
  <si>
    <t xml:space="preserve">remonty budynków </t>
  </si>
  <si>
    <t>Miejski Ośrodek Sportu 
i Rekreacji "Bystrzyca"</t>
  </si>
  <si>
    <t xml:space="preserve">utrzymanie obiektów sportowych  </t>
  </si>
  <si>
    <t xml:space="preserve">utrzymanie boisk 
i skateparku </t>
  </si>
  <si>
    <t xml:space="preserve"> - budowa wielofunkcyjnej hali sportowo-widowiskowej i lodowiska treningowego przy 
ul. Kazimierza Wielkiego                                             </t>
  </si>
  <si>
    <t xml:space="preserve">modernizacja stadionu przy 
Al. Zygmuntowskich 5 </t>
  </si>
  <si>
    <t>Razem gospodarstwa pomocnicze</t>
  </si>
  <si>
    <t>Razem środki specjalne</t>
  </si>
  <si>
    <t>Szkoły artystyczne</t>
  </si>
  <si>
    <t>Centra kształcenia ustawicznego 
i praktycznego oraz ośrodki dokształcania zawodowego</t>
  </si>
  <si>
    <t>Powiatowe Urzędy Pracy</t>
  </si>
  <si>
    <t>Zadania z zakresu administracji rządowej wykonywane przez powiat</t>
  </si>
  <si>
    <r>
      <t xml:space="preserve">Ogółem, </t>
    </r>
    <r>
      <rPr>
        <sz val="11"/>
        <rFont val="Arial"/>
        <family val="2"/>
      </rPr>
      <t>z tego:</t>
    </r>
  </si>
  <si>
    <r>
      <t xml:space="preserve">usługi turystyczne, </t>
    </r>
    <r>
      <rPr>
        <i/>
        <sz val="10"/>
        <rFont val="Arial"/>
        <family val="2"/>
      </rPr>
      <t>w tym promocja miasta - 50.000 zł</t>
    </r>
  </si>
  <si>
    <r>
      <t xml:space="preserve">  stawka dotacji na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powierzchni kompleksu sportowego przy 
Al. Zygmuntowskich 4 - 31,92 zł</t>
    </r>
  </si>
  <si>
    <r>
      <t xml:space="preserve">  stawka dotacji na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powierzchni boisk i skateparku - 7,60 zł</t>
    </r>
  </si>
  <si>
    <t>Załącznik Nr 7</t>
  </si>
  <si>
    <t>do uchwały Nr</t>
  </si>
  <si>
    <t>Instytucje kultury</t>
  </si>
  <si>
    <t xml:space="preserve">z dnia </t>
  </si>
  <si>
    <t>Nazwa instytucji</t>
  </si>
  <si>
    <t>Stan środków na początek roku</t>
  </si>
  <si>
    <t xml:space="preserve">Dotacja z budżetu 
na 2004 rok  
 wg projektu                           </t>
  </si>
  <si>
    <t xml:space="preserve">Dotacja z budżetu 
na 2004 rok
 po zmianach                        </t>
  </si>
  <si>
    <t>Teatr im. H. Ch. Andersena</t>
  </si>
  <si>
    <t>Centrum Kultury</t>
  </si>
  <si>
    <r>
      <t>Ogółem instytucje kultury</t>
    </r>
    <r>
      <rPr>
        <sz val="11"/>
        <rFont val="Arial CE"/>
        <family val="2"/>
      </rPr>
      <t>, w tym:</t>
    </r>
  </si>
  <si>
    <t xml:space="preserve">                   Załącznik Nr 8</t>
  </si>
  <si>
    <t xml:space="preserve">Wykaz zadań miasta realizowanych przez podmioty niezaliczone do sektora </t>
  </si>
  <si>
    <t xml:space="preserve">                   do autopoprawki</t>
  </si>
  <si>
    <t>finansów publicznych i niedziałające w celu osiągnięcia zysku</t>
  </si>
  <si>
    <t xml:space="preserve">                                                         w złotych</t>
  </si>
  <si>
    <t>Nazwa działu, rozdziału, zadania</t>
  </si>
  <si>
    <t>Dotacja z budżetu 
na 2004 rok wg projektu</t>
  </si>
  <si>
    <t>Dotacja z budżetu 
na 2004 rok po zmianach</t>
  </si>
  <si>
    <t>Przeznaczenie dotacji (cel publiczny)</t>
  </si>
  <si>
    <t>utrzymanie uczniów w niepublicznych szkołach podstawowych prowadzonych przez osoby prawne i fizyczne</t>
  </si>
  <si>
    <t>utrzymanie dzieci w publicznych i niepublicznych przedszkolach prowadzonych przez osoby prawne i fizyczne</t>
  </si>
  <si>
    <t xml:space="preserve">dotacje dla gimnazjów publicznych i niepublicznych </t>
  </si>
  <si>
    <t>utrzymanie uczniów w publicznych i niepublicznych gimnazjach prowadzonych przez osoby prawne i fizyczne</t>
  </si>
  <si>
    <t>utrzymanie uczniów w publicznych i niepublicznych liceach ogólnokształcących prowadzonych przez osoby prawne 
i fizyczne</t>
  </si>
  <si>
    <t xml:space="preserve">dotacje dla publicznych i niepublicznych szkół zawodowych </t>
  </si>
  <si>
    <t>utrzymanie uczniów w publicznych i niepublicznych szkołach zawodowych prowadzonych przez osoby prawne i fizyczne</t>
  </si>
  <si>
    <t>zakup sprzętu i aparatury medycznej</t>
  </si>
  <si>
    <t xml:space="preserve">zakup sprzętu i aparatury medycznej do szkolnych gabinetów stomatologicznych </t>
  </si>
  <si>
    <t>Przeciwdziałanie alkoholizmowi</t>
  </si>
  <si>
    <t>zadania realizowane w ramach programu profilaktyki 
i rozwiązywania problemów alkoholowych, w tym:</t>
  </si>
  <si>
    <t>udzielanie rodzinom, w których występują problemy alkoholowe pomocy psychospołecznej i prawnej, 
a w szczególności ochrony przed przemocą w rodzinie</t>
  </si>
  <si>
    <t>pomoc dla członków rodzin z problemem alkoholowym 
oraz problemem przemocy domowej</t>
  </si>
  <si>
    <t>Placówki opiekuńczo - wychowawcze</t>
  </si>
  <si>
    <t>utrzymanie wychowanków w niepublicznych placówkach opiekuńczo-wychowawczych prowadzonych przez osoby prawne i fizyczne</t>
  </si>
  <si>
    <t>Specjalne ośrodki szkolno-wychowawcze</t>
  </si>
  <si>
    <t>dotacje dla niepublicznych ośrodków szkolno - wychowawczych</t>
  </si>
  <si>
    <t>utrzymanie wychowanków w niepublicznych ośrodkach
szkolno - wychowawczych prowadzonych przez osoby prawne
i fizyczne</t>
  </si>
  <si>
    <t xml:space="preserve">utrzymanie uczniów w niepublicznych bursach
i internatach prowadzonych przez osoby prawne i fizyczne </t>
  </si>
  <si>
    <t>organizacja różnorodnych form upowszechniania kultury</t>
  </si>
  <si>
    <t>upowszechnianie kultury wśród mieszkańców miasta</t>
  </si>
  <si>
    <t>wydawnictwa kulturalne</t>
  </si>
  <si>
    <t>upowszechnianie kultury fizycznej</t>
  </si>
  <si>
    <t>propagowanie kultury fizycznej wśród młodzieży</t>
  </si>
  <si>
    <t>Zadania ustawowo zlecone gminie</t>
  </si>
  <si>
    <r>
      <t>z tego:</t>
    </r>
    <r>
      <rPr>
        <b/>
        <sz val="11"/>
        <rFont val="Arial CE"/>
        <family val="2"/>
      </rPr>
      <t xml:space="preserve">
Zadania własne</t>
    </r>
  </si>
  <si>
    <t>Załącznik Nr 9</t>
  </si>
  <si>
    <t xml:space="preserve">Przychody i wydatki Gminnego Funduszu Ochrony Środowiska i Gospodarki Wodnej </t>
  </si>
  <si>
    <t xml:space="preserve">Rozdz. 
§     </t>
  </si>
  <si>
    <t>Wyszczególnienie</t>
  </si>
  <si>
    <t>Plan na 2004 rok wg projektu</t>
  </si>
  <si>
    <t>Plan na 2004 rok po zmianach</t>
  </si>
  <si>
    <t>Stan środków obrotowych na początek roku</t>
  </si>
  <si>
    <t xml:space="preserve"> I Przychody</t>
  </si>
  <si>
    <t>Suma bilansowa</t>
  </si>
  <si>
    <t>II    Wydatki ogółem</t>
  </si>
  <si>
    <t>Fundusz Ochrony Środowiska i Gospodarki Wodnej</t>
  </si>
  <si>
    <t>obudowa sterówki jazu i przepustu</t>
  </si>
  <si>
    <t>Wydatki inwestycyjne funduszy celowych</t>
  </si>
  <si>
    <t>Stan środków obrotowych na koniec roku</t>
  </si>
  <si>
    <t xml:space="preserve">        MIASTA LUBLIN</t>
  </si>
  <si>
    <t xml:space="preserve">           PREZYDENT</t>
  </si>
  <si>
    <t xml:space="preserve">      Andrzej Pruszkowski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</si>
</sst>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;&quot;-&quot;#,##0"/>
    <numFmt numFmtId="174" formatCode="#,##0;[Red]&quot;-&quot;#,##0"/>
    <numFmt numFmtId="175" formatCode="#,##0.00;&quot;-&quot;#,##0.00"/>
    <numFmt numFmtId="176" formatCode="#,##0.00;[Red]&quot;-&quot;#,##0.00"/>
    <numFmt numFmtId="177" formatCode="#,##0.0"/>
    <numFmt numFmtId="178" formatCode="\1000,000"/>
    <numFmt numFmtId="179" formatCode="\1\ 000,000"/>
    <numFmt numFmtId="180" formatCode="#\.##0"/>
    <numFmt numFmtId="181" formatCode="#\.###\.##0"/>
    <numFmt numFmtId="182" formatCode="0.0%"/>
    <numFmt numFmtId="183" formatCode="h:m"/>
    <numFmt numFmtId="184" formatCode="\ h\ h:m"/>
  </numFmts>
  <fonts count="33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3"/>
      <name val="Arial CE"/>
      <family val="2"/>
    </font>
    <font>
      <i/>
      <sz val="12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2">
    <xf numFmtId="0" fontId="0" fillId="0" borderId="0" xfId="0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3" fontId="4" fillId="2" borderId="14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3" fontId="4" fillId="3" borderId="13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 horizontal="right" wrapText="1"/>
    </xf>
    <xf numFmtId="0" fontId="0" fillId="2" borderId="11" xfId="0" applyFont="1" applyFill="1" applyBorder="1" applyAlignment="1" quotePrefix="1">
      <alignment horizontal="right"/>
    </xf>
    <xf numFmtId="0" fontId="0" fillId="2" borderId="16" xfId="0" applyFont="1" applyFill="1" applyBorder="1" applyAlignment="1">
      <alignment/>
    </xf>
    <xf numFmtId="3" fontId="0" fillId="2" borderId="16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right" wrapText="1"/>
    </xf>
    <xf numFmtId="0" fontId="0" fillId="2" borderId="13" xfId="0" applyFont="1" applyFill="1" applyBorder="1" applyAlignment="1" quotePrefix="1">
      <alignment horizontal="right"/>
    </xf>
    <xf numFmtId="0" fontId="0" fillId="2" borderId="13" xfId="0" applyFont="1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 quotePrefix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17" xfId="0" applyFont="1" applyFill="1" applyBorder="1" applyAlignment="1">
      <alignment horizontal="right" wrapText="1"/>
    </xf>
    <xf numFmtId="0" fontId="4" fillId="2" borderId="18" xfId="0" applyFont="1" applyFill="1" applyBorder="1" applyAlignment="1">
      <alignment wrapText="1"/>
    </xf>
    <xf numFmtId="0" fontId="4" fillId="2" borderId="17" xfId="0" applyFont="1" applyFill="1" applyBorder="1" applyAlignment="1">
      <alignment horizontal="right"/>
    </xf>
    <xf numFmtId="0" fontId="4" fillId="2" borderId="13" xfId="0" applyFont="1" applyFill="1" applyBorder="1" applyAlignment="1" quotePrefix="1">
      <alignment horizontal="right"/>
    </xf>
    <xf numFmtId="0" fontId="4" fillId="2" borderId="13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2" borderId="13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4" fillId="3" borderId="13" xfId="0" applyFont="1" applyFill="1" applyBorder="1" applyAlignment="1">
      <alignment/>
    </xf>
    <xf numFmtId="0" fontId="4" fillId="2" borderId="13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right"/>
    </xf>
    <xf numFmtId="3" fontId="0" fillId="2" borderId="20" xfId="0" applyNumberFormat="1" applyFont="1" applyFill="1" applyBorder="1" applyAlignment="1">
      <alignment horizontal="right" wrapText="1"/>
    </xf>
    <xf numFmtId="0" fontId="4" fillId="2" borderId="15" xfId="0" applyFont="1" applyFill="1" applyBorder="1" applyAlignment="1">
      <alignment/>
    </xf>
    <xf numFmtId="0" fontId="0" fillId="2" borderId="15" xfId="0" applyFont="1" applyFill="1" applyBorder="1" applyAlignment="1">
      <alignment wrapText="1"/>
    </xf>
    <xf numFmtId="3" fontId="0" fillId="2" borderId="15" xfId="0" applyNumberFormat="1" applyFont="1" applyFill="1" applyBorder="1" applyAlignment="1">
      <alignment horizontal="right" wrapText="1"/>
    </xf>
    <xf numFmtId="0" fontId="4" fillId="2" borderId="11" xfId="0" applyFont="1" applyFill="1" applyBorder="1" applyAlignment="1">
      <alignment/>
    </xf>
    <xf numFmtId="0" fontId="4" fillId="2" borderId="14" xfId="0" applyFont="1" applyFill="1" applyBorder="1" applyAlignment="1">
      <alignment wrapText="1"/>
    </xf>
    <xf numFmtId="3" fontId="4" fillId="2" borderId="15" xfId="0" applyNumberFormat="1" applyFont="1" applyFill="1" applyBorder="1" applyAlignment="1">
      <alignment horizontal="right" wrapText="1"/>
    </xf>
    <xf numFmtId="0" fontId="0" fillId="2" borderId="21" xfId="0" applyFont="1" applyFill="1" applyBorder="1" applyAlignment="1">
      <alignment horizontal="left" wrapText="1"/>
    </xf>
    <xf numFmtId="3" fontId="0" fillId="2" borderId="21" xfId="0" applyNumberFormat="1" applyFont="1" applyFill="1" applyBorder="1" applyAlignment="1">
      <alignment horizontal="right"/>
    </xf>
    <xf numFmtId="0" fontId="0" fillId="2" borderId="20" xfId="0" applyFont="1" applyFill="1" applyBorder="1" applyAlignment="1">
      <alignment horizontal="left" wrapText="1"/>
    </xf>
    <xf numFmtId="3" fontId="0" fillId="2" borderId="2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3" fontId="4" fillId="0" borderId="14" xfId="0" applyNumberFormat="1" applyFont="1" applyBorder="1" applyAlignment="1">
      <alignment horizontal="right" wrapText="1"/>
    </xf>
    <xf numFmtId="3" fontId="10" fillId="2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2" borderId="14" xfId="0" applyFont="1" applyFill="1" applyBorder="1" applyAlignment="1">
      <alignment horizontal="left"/>
    </xf>
    <xf numFmtId="3" fontId="4" fillId="3" borderId="15" xfId="0" applyNumberFormat="1" applyFont="1" applyFill="1" applyBorder="1" applyAlignment="1">
      <alignment horizontal="right" wrapText="1"/>
    </xf>
    <xf numFmtId="3" fontId="4" fillId="2" borderId="21" xfId="0" applyNumberFormat="1" applyFont="1" applyFill="1" applyBorder="1" applyAlignment="1">
      <alignment horizontal="right" wrapText="1"/>
    </xf>
    <xf numFmtId="0" fontId="0" fillId="2" borderId="17" xfId="0" applyFont="1" applyFill="1" applyBorder="1" applyAlignment="1" quotePrefix="1">
      <alignment horizontal="right"/>
    </xf>
    <xf numFmtId="3" fontId="0" fillId="2" borderId="21" xfId="0" applyNumberFormat="1" applyFont="1" applyFill="1" applyBorder="1" applyAlignment="1">
      <alignment horizontal="right" wrapText="1"/>
    </xf>
    <xf numFmtId="0" fontId="4" fillId="3" borderId="15" xfId="0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5" xfId="0" applyFont="1" applyFill="1" applyBorder="1" applyAlignment="1">
      <alignment wrapText="1"/>
    </xf>
    <xf numFmtId="0" fontId="0" fillId="2" borderId="15" xfId="0" applyFont="1" applyFill="1" applyBorder="1" applyAlignment="1" quotePrefix="1">
      <alignment horizontal="right"/>
    </xf>
    <xf numFmtId="3" fontId="0" fillId="2" borderId="15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4" fillId="2" borderId="13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 wrapText="1"/>
    </xf>
    <xf numFmtId="3" fontId="4" fillId="2" borderId="11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 wrapText="1"/>
    </xf>
    <xf numFmtId="3" fontId="4" fillId="2" borderId="1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3" fontId="4" fillId="3" borderId="22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2" borderId="1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3" fontId="0" fillId="2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0" fontId="7" fillId="3" borderId="15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0" fontId="7" fillId="3" borderId="15" xfId="0" applyFont="1" applyFill="1" applyBorder="1" applyAlignment="1">
      <alignment wrapText="1"/>
    </xf>
    <xf numFmtId="3" fontId="7" fillId="3" borderId="15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7" fillId="3" borderId="13" xfId="0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wrapText="1"/>
    </xf>
    <xf numFmtId="0" fontId="7" fillId="3" borderId="13" xfId="0" applyFont="1" applyFill="1" applyBorder="1" applyAlignment="1">
      <alignment/>
    </xf>
    <xf numFmtId="0" fontId="7" fillId="3" borderId="13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9" fillId="0" borderId="32" xfId="0" applyFont="1" applyBorder="1" applyAlignment="1">
      <alignment/>
    </xf>
    <xf numFmtId="3" fontId="9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2" borderId="11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2" borderId="1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17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3" xfId="0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7" fillId="3" borderId="18" xfId="0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37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1" fillId="0" borderId="0" xfId="0" applyFont="1" applyAlignment="1">
      <alignment/>
    </xf>
    <xf numFmtId="1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4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/>
    </xf>
    <xf numFmtId="3" fontId="3" fillId="0" borderId="5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/>
    </xf>
    <xf numFmtId="3" fontId="1" fillId="0" borderId="5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3" fontId="7" fillId="0" borderId="14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/>
    </xf>
    <xf numFmtId="3" fontId="7" fillId="0" borderId="54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1" fontId="7" fillId="3" borderId="15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 wrapText="1"/>
    </xf>
    <xf numFmtId="3" fontId="7" fillId="3" borderId="13" xfId="0" applyNumberFormat="1" applyFont="1" applyFill="1" applyBorder="1" applyAlignment="1">
      <alignment horizontal="center"/>
    </xf>
    <xf numFmtId="3" fontId="7" fillId="3" borderId="55" xfId="0" applyNumberFormat="1" applyFont="1" applyFill="1" applyBorder="1" applyAlignment="1">
      <alignment/>
    </xf>
    <xf numFmtId="3" fontId="7" fillId="3" borderId="56" xfId="0" applyNumberFormat="1" applyFont="1" applyFill="1" applyBorder="1" applyAlignment="1">
      <alignment/>
    </xf>
    <xf numFmtId="3" fontId="7" fillId="3" borderId="57" xfId="0" applyNumberFormat="1" applyFont="1" applyFill="1" applyBorder="1" applyAlignment="1">
      <alignment/>
    </xf>
    <xf numFmtId="3" fontId="7" fillId="3" borderId="58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7" fillId="0" borderId="11" xfId="0" applyNumberFormat="1" applyFont="1" applyBorder="1" applyAlignment="1">
      <alignment/>
    </xf>
    <xf numFmtId="1" fontId="7" fillId="0" borderId="15" xfId="0" applyNumberFormat="1" applyFont="1" applyBorder="1" applyAlignment="1">
      <alignment vertical="top"/>
    </xf>
    <xf numFmtId="3" fontId="7" fillId="0" borderId="15" xfId="0" applyNumberFormat="1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7" fillId="0" borderId="6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 horizontal="right"/>
    </xf>
    <xf numFmtId="3" fontId="1" fillId="0" borderId="68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7" fillId="0" borderId="13" xfId="40" applyFont="1" applyBorder="1" applyAlignment="1">
      <alignment horizontal="center" wrapText="1"/>
      <protection/>
    </xf>
    <xf numFmtId="0" fontId="1" fillId="0" borderId="13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1" fontId="7" fillId="3" borderId="13" xfId="0" applyNumberFormat="1" applyFont="1" applyFill="1" applyBorder="1" applyAlignment="1">
      <alignment/>
    </xf>
    <xf numFmtId="1" fontId="7" fillId="3" borderId="13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0" fontId="18" fillId="3" borderId="13" xfId="40" applyFont="1" applyFill="1" applyBorder="1" applyAlignment="1">
      <alignment horizontal="center" wrapText="1"/>
      <protection/>
    </xf>
    <xf numFmtId="0" fontId="7" fillId="3" borderId="13" xfId="0" applyFont="1" applyFill="1" applyBorder="1" applyAlignment="1">
      <alignment horizontal="center" wrapText="1"/>
    </xf>
    <xf numFmtId="3" fontId="7" fillId="3" borderId="13" xfId="0" applyNumberFormat="1" applyFont="1" applyFill="1" applyBorder="1" applyAlignment="1">
      <alignment horizontal="right" wrapText="1"/>
    </xf>
    <xf numFmtId="3" fontId="7" fillId="3" borderId="55" xfId="0" applyNumberFormat="1" applyFont="1" applyFill="1" applyBorder="1" applyAlignment="1">
      <alignment/>
    </xf>
    <xf numFmtId="3" fontId="7" fillId="3" borderId="56" xfId="0" applyNumberFormat="1" applyFont="1" applyFill="1" applyBorder="1" applyAlignment="1">
      <alignment/>
    </xf>
    <xf numFmtId="3" fontId="7" fillId="3" borderId="57" xfId="0" applyNumberFormat="1" applyFont="1" applyFill="1" applyBorder="1" applyAlignment="1">
      <alignment/>
    </xf>
    <xf numFmtId="3" fontId="7" fillId="3" borderId="58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18" fillId="0" borderId="13" xfId="40" applyFont="1" applyBorder="1" applyAlignment="1">
      <alignment horizontal="center" wrapText="1"/>
      <protection/>
    </xf>
    <xf numFmtId="0" fontId="7" fillId="0" borderId="13" xfId="0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right" wrapText="1"/>
    </xf>
    <xf numFmtId="3" fontId="7" fillId="0" borderId="5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3" borderId="15" xfId="0" applyNumberFormat="1" applyFont="1" applyFill="1" applyBorder="1" applyAlignment="1">
      <alignment/>
    </xf>
    <xf numFmtId="3" fontId="16" fillId="3" borderId="15" xfId="0" applyNumberFormat="1" applyFont="1" applyFill="1" applyBorder="1" applyAlignment="1">
      <alignment wrapText="1"/>
    </xf>
    <xf numFmtId="3" fontId="7" fillId="3" borderId="15" xfId="0" applyNumberFormat="1" applyFont="1" applyFill="1" applyBorder="1" applyAlignment="1">
      <alignment horizontal="center"/>
    </xf>
    <xf numFmtId="3" fontId="7" fillId="3" borderId="59" xfId="0" applyNumberFormat="1" applyFont="1" applyFill="1" applyBorder="1" applyAlignment="1">
      <alignment/>
    </xf>
    <xf numFmtId="3" fontId="7" fillId="3" borderId="60" xfId="0" applyNumberFormat="1" applyFont="1" applyFill="1" applyBorder="1" applyAlignment="1">
      <alignment/>
    </xf>
    <xf numFmtId="3" fontId="7" fillId="3" borderId="66" xfId="0" applyNumberFormat="1" applyFont="1" applyFill="1" applyBorder="1" applyAlignment="1">
      <alignment/>
    </xf>
    <xf numFmtId="3" fontId="7" fillId="3" borderId="6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1" fontId="7" fillId="2" borderId="15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16" fillId="2" borderId="15" xfId="0" applyNumberFormat="1" applyFont="1" applyFill="1" applyBorder="1" applyAlignment="1">
      <alignment wrapText="1"/>
    </xf>
    <xf numFmtId="3" fontId="7" fillId="2" borderId="15" xfId="0" applyNumberFormat="1" applyFont="1" applyFill="1" applyBorder="1" applyAlignment="1">
      <alignment horizontal="center"/>
    </xf>
    <xf numFmtId="3" fontId="7" fillId="2" borderId="59" xfId="0" applyNumberFormat="1" applyFont="1" applyFill="1" applyBorder="1" applyAlignment="1">
      <alignment/>
    </xf>
    <xf numFmtId="3" fontId="7" fillId="2" borderId="60" xfId="0" applyNumberFormat="1" applyFont="1" applyFill="1" applyBorder="1" applyAlignment="1">
      <alignment/>
    </xf>
    <xf numFmtId="3" fontId="7" fillId="2" borderId="66" xfId="0" applyNumberFormat="1" applyFont="1" applyFill="1" applyBorder="1" applyAlignment="1">
      <alignment/>
    </xf>
    <xf numFmtId="3" fontId="7" fillId="2" borderId="6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1" fontId="1" fillId="2" borderId="15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 horizontal="center" wrapText="1"/>
    </xf>
    <xf numFmtId="0" fontId="1" fillId="2" borderId="15" xfId="0" applyNumberFormat="1" applyFont="1" applyFill="1" applyBorder="1" applyAlignment="1">
      <alignment horizontal="center"/>
    </xf>
    <xf numFmtId="3" fontId="1" fillId="2" borderId="59" xfId="0" applyNumberFormat="1" applyFont="1" applyFill="1" applyBorder="1" applyAlignment="1">
      <alignment/>
    </xf>
    <xf numFmtId="3" fontId="1" fillId="2" borderId="60" xfId="0" applyNumberFormat="1" applyFont="1" applyFill="1" applyBorder="1" applyAlignment="1">
      <alignment/>
    </xf>
    <xf numFmtId="3" fontId="1" fillId="2" borderId="66" xfId="0" applyNumberFormat="1" applyFont="1" applyFill="1" applyBorder="1" applyAlignment="1">
      <alignment/>
    </xf>
    <xf numFmtId="3" fontId="1" fillId="2" borderId="61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1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" fontId="7" fillId="3" borderId="15" xfId="0" applyNumberFormat="1" applyFont="1" applyFill="1" applyBorder="1" applyAlignment="1">
      <alignment vertical="top"/>
    </xf>
    <xf numFmtId="3" fontId="7" fillId="3" borderId="15" xfId="0" applyNumberFormat="1" applyFont="1" applyFill="1" applyBorder="1" applyAlignment="1">
      <alignment wrapText="1"/>
    </xf>
    <xf numFmtId="1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13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/>
    </xf>
    <xf numFmtId="1" fontId="7" fillId="3" borderId="13" xfId="0" applyNumberFormat="1" applyFont="1" applyFill="1" applyBorder="1" applyAlignment="1">
      <alignment/>
    </xf>
    <xf numFmtId="1" fontId="7" fillId="3" borderId="13" xfId="0" applyNumberFormat="1" applyFont="1" applyFill="1" applyBorder="1" applyAlignment="1">
      <alignment/>
    </xf>
    <xf numFmtId="3" fontId="16" fillId="3" borderId="13" xfId="0" applyNumberFormat="1" applyFont="1" applyFill="1" applyBorder="1" applyAlignment="1">
      <alignment wrapText="1"/>
    </xf>
    <xf numFmtId="3" fontId="7" fillId="3" borderId="56" xfId="0" applyNumberFormat="1" applyFont="1" applyFill="1" applyBorder="1" applyAlignment="1">
      <alignment/>
    </xf>
    <xf numFmtId="3" fontId="7" fillId="3" borderId="58" xfId="0" applyNumberFormat="1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right" wrapText="1"/>
    </xf>
    <xf numFmtId="3" fontId="1" fillId="0" borderId="71" xfId="0" applyNumberFormat="1" applyFont="1" applyBorder="1" applyAlignment="1">
      <alignment horizontal="right" wrapText="1"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3" fontId="1" fillId="0" borderId="55" xfId="0" applyNumberFormat="1" applyFont="1" applyBorder="1" applyAlignment="1">
      <alignment horizontal="right" wrapText="1"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wrapText="1"/>
    </xf>
    <xf numFmtId="3" fontId="1" fillId="0" borderId="71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7" fillId="3" borderId="66" xfId="0" applyNumberFormat="1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16" fillId="0" borderId="17" xfId="0" applyNumberFormat="1" applyFont="1" applyBorder="1" applyAlignment="1">
      <alignment horizontal="center" wrapText="1"/>
    </xf>
    <xf numFmtId="1" fontId="7" fillId="0" borderId="17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7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1" fontId="7" fillId="3" borderId="15" xfId="0" applyNumberFormat="1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3" fontId="7" fillId="0" borderId="66" xfId="0" applyNumberFormat="1" applyFont="1" applyBorder="1" applyAlignment="1">
      <alignment horizontal="right" wrapText="1"/>
    </xf>
    <xf numFmtId="3" fontId="7" fillId="0" borderId="59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31" xfId="0" applyNumberFormat="1" applyFont="1" applyBorder="1" applyAlignment="1">
      <alignment horizontal="right" wrapText="1"/>
    </xf>
    <xf numFmtId="3" fontId="1" fillId="0" borderId="6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5" fillId="3" borderId="15" xfId="0" applyNumberFormat="1" applyFont="1" applyFill="1" applyBorder="1" applyAlignment="1">
      <alignment horizontal="center" wrapText="1"/>
    </xf>
    <xf numFmtId="3" fontId="1" fillId="3" borderId="15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3" fontId="1" fillId="0" borderId="79" xfId="0" applyNumberFormat="1" applyFont="1" applyBorder="1" applyAlignment="1">
      <alignment/>
    </xf>
    <xf numFmtId="3" fontId="1" fillId="0" borderId="80" xfId="0" applyNumberFormat="1" applyFont="1" applyBorder="1" applyAlignment="1">
      <alignment/>
    </xf>
    <xf numFmtId="3" fontId="1" fillId="0" borderId="20" xfId="0" applyNumberFormat="1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right" wrapText="1"/>
    </xf>
    <xf numFmtId="3" fontId="1" fillId="0" borderId="79" xfId="0" applyNumberFormat="1" applyFont="1" applyBorder="1" applyAlignment="1">
      <alignment horizontal="right" wrapText="1"/>
    </xf>
    <xf numFmtId="1" fontId="7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 wrapText="1"/>
    </xf>
    <xf numFmtId="3" fontId="7" fillId="0" borderId="45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81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8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8" fillId="2" borderId="14" xfId="0" applyFont="1" applyFill="1" applyBorder="1" applyAlignment="1">
      <alignment horizontal="left"/>
    </xf>
    <xf numFmtId="3" fontId="8" fillId="2" borderId="14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/>
    </xf>
    <xf numFmtId="3" fontId="16" fillId="3" borderId="13" xfId="0" applyNumberFormat="1" applyFont="1" applyFill="1" applyBorder="1" applyAlignment="1">
      <alignment horizontal="center"/>
    </xf>
    <xf numFmtId="1" fontId="16" fillId="3" borderId="13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3" fontId="16" fillId="0" borderId="13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wrapText="1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1" fontId="4" fillId="3" borderId="13" xfId="0" applyNumberFormat="1" applyFont="1" applyFill="1" applyBorder="1" applyAlignment="1">
      <alignment horizontal="center"/>
    </xf>
    <xf numFmtId="0" fontId="16" fillId="0" borderId="83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3" borderId="13" xfId="0" applyFont="1" applyFill="1" applyBorder="1" applyAlignment="1">
      <alignment/>
    </xf>
    <xf numFmtId="0" fontId="16" fillId="3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/>
    </xf>
    <xf numFmtId="0" fontId="16" fillId="2" borderId="83" xfId="0" applyFont="1" applyFill="1" applyBorder="1" applyAlignment="1">
      <alignment horizontal="center" wrapText="1"/>
    </xf>
    <xf numFmtId="1" fontId="4" fillId="2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19" fillId="0" borderId="84" xfId="0" applyFont="1" applyBorder="1" applyAlignment="1">
      <alignment horizontal="center"/>
    </xf>
    <xf numFmtId="0" fontId="19" fillId="0" borderId="84" xfId="0" applyNumberFormat="1" applyFont="1" applyBorder="1" applyAlignment="1">
      <alignment horizontal="center"/>
    </xf>
    <xf numFmtId="0" fontId="19" fillId="0" borderId="84" xfId="0" applyFont="1" applyBorder="1" applyAlignment="1">
      <alignment wrapText="1"/>
    </xf>
    <xf numFmtId="0" fontId="19" fillId="0" borderId="84" xfId="0" applyFont="1" applyBorder="1" applyAlignment="1">
      <alignment/>
    </xf>
    <xf numFmtId="0" fontId="19" fillId="0" borderId="8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wrapText="1"/>
    </xf>
    <xf numFmtId="0" fontId="23" fillId="0" borderId="82" xfId="0" applyFont="1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" xfId="0" applyFont="1" applyBorder="1" applyAlignment="1">
      <alignment/>
    </xf>
    <xf numFmtId="0" fontId="23" fillId="0" borderId="26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4" fillId="0" borderId="6" xfId="0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3" fontId="25" fillId="3" borderId="15" xfId="0" applyNumberFormat="1" applyFont="1" applyFill="1" applyBorder="1" applyAlignment="1">
      <alignment horizontal="right"/>
    </xf>
    <xf numFmtId="0" fontId="25" fillId="3" borderId="15" xfId="0" applyNumberFormat="1" applyFont="1" applyFill="1" applyBorder="1" applyAlignment="1">
      <alignment horizontal="right"/>
    </xf>
    <xf numFmtId="0" fontId="25" fillId="3" borderId="85" xfId="0" applyFont="1" applyFill="1" applyBorder="1" applyAlignment="1">
      <alignment horizontal="left" wrapText="1"/>
    </xf>
    <xf numFmtId="3" fontId="25" fillId="3" borderId="13" xfId="0" applyNumberFormat="1" applyFont="1" applyFill="1" applyBorder="1" applyAlignment="1">
      <alignment horizontal="right"/>
    </xf>
    <xf numFmtId="3" fontId="23" fillId="3" borderId="13" xfId="0" applyNumberFormat="1" applyFont="1" applyFill="1" applyBorder="1" applyAlignment="1">
      <alignment horizontal="center" vertical="center" wrapText="1"/>
    </xf>
    <xf numFmtId="3" fontId="23" fillId="3" borderId="22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3" fontId="25" fillId="2" borderId="14" xfId="0" applyNumberFormat="1" applyFont="1" applyFill="1" applyBorder="1" applyAlignment="1">
      <alignment horizontal="right"/>
    </xf>
    <xf numFmtId="0" fontId="25" fillId="2" borderId="14" xfId="0" applyNumberFormat="1" applyFont="1" applyFill="1" applyBorder="1" applyAlignment="1">
      <alignment horizontal="right"/>
    </xf>
    <xf numFmtId="0" fontId="25" fillId="2" borderId="86" xfId="0" applyFont="1" applyFill="1" applyBorder="1" applyAlignment="1">
      <alignment horizontal="left" wrapText="1"/>
    </xf>
    <xf numFmtId="3" fontId="23" fillId="2" borderId="14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/>
    </xf>
    <xf numFmtId="3" fontId="27" fillId="0" borderId="13" xfId="0" applyNumberFormat="1" applyFont="1" applyBorder="1" applyAlignment="1">
      <alignment/>
    </xf>
    <xf numFmtId="0" fontId="27" fillId="0" borderId="13" xfId="0" applyNumberFormat="1" applyFont="1" applyBorder="1" applyAlignment="1">
      <alignment/>
    </xf>
    <xf numFmtId="0" fontId="27" fillId="0" borderId="18" xfId="0" applyFont="1" applyBorder="1" applyAlignment="1">
      <alignment horizontal="left" wrapText="1"/>
    </xf>
    <xf numFmtId="3" fontId="28" fillId="0" borderId="13" xfId="0" applyNumberFormat="1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3" fontId="26" fillId="0" borderId="21" xfId="0" applyNumberFormat="1" applyFont="1" applyBorder="1" applyAlignment="1">
      <alignment/>
    </xf>
    <xf numFmtId="0" fontId="26" fillId="0" borderId="87" xfId="0" applyNumberFormat="1" applyFont="1" applyBorder="1" applyAlignment="1">
      <alignment/>
    </xf>
    <xf numFmtId="0" fontId="26" fillId="0" borderId="21" xfId="0" applyFont="1" applyBorder="1" applyAlignment="1">
      <alignment wrapText="1"/>
    </xf>
    <xf numFmtId="3" fontId="26" fillId="0" borderId="88" xfId="0" applyNumberFormat="1" applyFont="1" applyBorder="1" applyAlignment="1">
      <alignment/>
    </xf>
    <xf numFmtId="3" fontId="24" fillId="0" borderId="21" xfId="0" applyNumberFormat="1" applyFont="1" applyBorder="1" applyAlignment="1">
      <alignment horizontal="center" vertical="center" wrapText="1"/>
    </xf>
    <xf numFmtId="3" fontId="26" fillId="0" borderId="73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83" xfId="0" applyFont="1" applyBorder="1" applyAlignment="1">
      <alignment wrapText="1"/>
    </xf>
    <xf numFmtId="3" fontId="26" fillId="0" borderId="83" xfId="0" applyNumberFormat="1" applyFont="1" applyBorder="1" applyAlignment="1">
      <alignment/>
    </xf>
    <xf numFmtId="3" fontId="24" fillId="0" borderId="89" xfId="0" applyNumberFormat="1" applyFont="1" applyBorder="1" applyAlignment="1">
      <alignment horizontal="center" vertical="center" wrapText="1"/>
    </xf>
    <xf numFmtId="3" fontId="26" fillId="0" borderId="31" xfId="0" applyNumberFormat="1" applyFont="1" applyBorder="1" applyAlignment="1">
      <alignment/>
    </xf>
    <xf numFmtId="3" fontId="26" fillId="0" borderId="90" xfId="0" applyNumberFormat="1" applyFont="1" applyBorder="1" applyAlignment="1">
      <alignment/>
    </xf>
    <xf numFmtId="3" fontId="19" fillId="0" borderId="90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wrapText="1"/>
    </xf>
    <xf numFmtId="3" fontId="26" fillId="0" borderId="89" xfId="0" applyNumberFormat="1" applyFont="1" applyBorder="1" applyAlignment="1">
      <alignment/>
    </xf>
    <xf numFmtId="0" fontId="26" fillId="0" borderId="91" xfId="0" applyNumberFormat="1" applyFont="1" applyBorder="1" applyAlignment="1">
      <alignment/>
    </xf>
    <xf numFmtId="0" fontId="26" fillId="0" borderId="92" xfId="0" applyFont="1" applyBorder="1" applyAlignment="1">
      <alignment wrapText="1"/>
    </xf>
    <xf numFmtId="3" fontId="19" fillId="0" borderId="89" xfId="0" applyNumberFormat="1" applyFont="1" applyBorder="1" applyAlignment="1">
      <alignment horizontal="center" vertical="center" wrapText="1"/>
    </xf>
    <xf numFmtId="3" fontId="26" fillId="0" borderId="93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0" fontId="26" fillId="0" borderId="33" xfId="0" applyNumberFormat="1" applyFont="1" applyBorder="1" applyAlignment="1">
      <alignment/>
    </xf>
    <xf numFmtId="0" fontId="26" fillId="0" borderId="33" xfId="0" applyFont="1" applyBorder="1" applyAlignment="1">
      <alignment wrapText="1"/>
    </xf>
    <xf numFmtId="3" fontId="19" fillId="0" borderId="33" xfId="0" applyNumberFormat="1" applyFont="1" applyBorder="1" applyAlignment="1">
      <alignment horizontal="center" vertical="center" wrapText="1"/>
    </xf>
    <xf numFmtId="3" fontId="19" fillId="0" borderId="33" xfId="0" applyNumberFormat="1" applyFont="1" applyBorder="1" applyAlignment="1">
      <alignment horizontal="center" wrapText="1"/>
    </xf>
    <xf numFmtId="3" fontId="26" fillId="0" borderId="89" xfId="0" applyNumberFormat="1" applyFont="1" applyBorder="1" applyAlignment="1">
      <alignment vertical="center"/>
    </xf>
    <xf numFmtId="0" fontId="26" fillId="0" borderId="91" xfId="0" applyNumberFormat="1" applyFont="1" applyBorder="1" applyAlignment="1">
      <alignment vertical="center"/>
    </xf>
    <xf numFmtId="0" fontId="26" fillId="0" borderId="89" xfId="0" applyFont="1" applyBorder="1" applyAlignment="1">
      <alignment vertical="center" wrapText="1"/>
    </xf>
    <xf numFmtId="3" fontId="26" fillId="0" borderId="92" xfId="0" applyNumberFormat="1" applyFont="1" applyBorder="1" applyAlignment="1">
      <alignment vertical="center"/>
    </xf>
    <xf numFmtId="3" fontId="26" fillId="0" borderId="89" xfId="0" applyNumberFormat="1" applyFont="1" applyBorder="1" applyAlignment="1">
      <alignment horizontal="right" vertical="center"/>
    </xf>
    <xf numFmtId="3" fontId="26" fillId="0" borderId="93" xfId="0" applyNumberFormat="1" applyFont="1" applyBorder="1" applyAlignment="1">
      <alignment vertical="center"/>
    </xf>
    <xf numFmtId="3" fontId="19" fillId="0" borderId="0" xfId="0" applyNumberFormat="1" applyFont="1" applyAlignment="1">
      <alignment vertical="top"/>
    </xf>
    <xf numFmtId="3" fontId="26" fillId="0" borderId="11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3" fontId="26" fillId="0" borderId="83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94" xfId="0" applyNumberFormat="1" applyFont="1" applyBorder="1" applyAlignment="1">
      <alignment horizontal="right" vertical="center"/>
    </xf>
    <xf numFmtId="3" fontId="19" fillId="0" borderId="94" xfId="0" applyNumberFormat="1" applyFont="1" applyBorder="1" applyAlignment="1">
      <alignment horizontal="center" vertical="center" wrapText="1"/>
    </xf>
    <xf numFmtId="3" fontId="0" fillId="0" borderId="94" xfId="0" applyNumberFormat="1" applyFont="1" applyBorder="1" applyAlignment="1">
      <alignment horizontal="center" vertical="center" wrapText="1"/>
    </xf>
    <xf numFmtId="3" fontId="26" fillId="0" borderId="90" xfId="0" applyNumberFormat="1" applyFont="1" applyBorder="1" applyAlignment="1">
      <alignment vertical="center"/>
    </xf>
    <xf numFmtId="3" fontId="26" fillId="0" borderId="95" xfId="0" applyNumberFormat="1" applyFont="1" applyBorder="1" applyAlignment="1">
      <alignment vertical="center"/>
    </xf>
    <xf numFmtId="3" fontId="26" fillId="0" borderId="94" xfId="0" applyNumberFormat="1" applyFont="1" applyBorder="1" applyAlignment="1">
      <alignment vertical="center"/>
    </xf>
    <xf numFmtId="3" fontId="26" fillId="0" borderId="96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3" fontId="26" fillId="0" borderId="18" xfId="0" applyNumberFormat="1" applyFont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vertical="center"/>
    </xf>
    <xf numFmtId="3" fontId="26" fillId="0" borderId="57" xfId="0" applyNumberFormat="1" applyFont="1" applyBorder="1" applyAlignment="1">
      <alignment vertical="center"/>
    </xf>
    <xf numFmtId="0" fontId="27" fillId="0" borderId="13" xfId="0" applyFont="1" applyBorder="1" applyAlignment="1">
      <alignment horizontal="left" wrapText="1"/>
    </xf>
    <xf numFmtId="3" fontId="23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3" fontId="27" fillId="0" borderId="11" xfId="0" applyNumberFormat="1" applyFont="1" applyBorder="1" applyAlignment="1">
      <alignment/>
    </xf>
    <xf numFmtId="0" fontId="27" fillId="0" borderId="11" xfId="0" applyNumberFormat="1" applyFont="1" applyBorder="1" applyAlignment="1">
      <alignment/>
    </xf>
    <xf numFmtId="3" fontId="27" fillId="0" borderId="18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/>
    </xf>
    <xf numFmtId="3" fontId="28" fillId="0" borderId="1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3" fontId="31" fillId="0" borderId="13" xfId="0" applyNumberFormat="1" applyFont="1" applyBorder="1" applyAlignment="1">
      <alignment/>
    </xf>
    <xf numFmtId="0" fontId="31" fillId="0" borderId="13" xfId="0" applyNumberFormat="1" applyFont="1" applyBorder="1" applyAlignment="1">
      <alignment/>
    </xf>
    <xf numFmtId="0" fontId="31" fillId="0" borderId="18" xfId="0" applyFont="1" applyBorder="1" applyAlignment="1">
      <alignment wrapText="1"/>
    </xf>
    <xf numFmtId="3" fontId="29" fillId="0" borderId="13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/>
    </xf>
    <xf numFmtId="0" fontId="26" fillId="0" borderId="15" xfId="0" applyNumberFormat="1" applyFont="1" applyBorder="1" applyAlignment="1">
      <alignment/>
    </xf>
    <xf numFmtId="0" fontId="26" fillId="0" borderId="85" xfId="0" applyFont="1" applyBorder="1" applyAlignment="1">
      <alignment horizontal="left" wrapText="1"/>
    </xf>
    <xf numFmtId="3" fontId="19" fillId="0" borderId="15" xfId="0" applyNumberFormat="1" applyFont="1" applyBorder="1" applyAlignment="1">
      <alignment horizontal="center" vertical="center" wrapText="1"/>
    </xf>
    <xf numFmtId="3" fontId="26" fillId="0" borderId="6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6" fillId="0" borderId="21" xfId="0" applyNumberFormat="1" applyFont="1" applyBorder="1" applyAlignment="1">
      <alignment/>
    </xf>
    <xf numFmtId="0" fontId="26" fillId="0" borderId="88" xfId="0" applyFont="1" applyBorder="1" applyAlignment="1">
      <alignment wrapText="1"/>
    </xf>
    <xf numFmtId="3" fontId="19" fillId="0" borderId="21" xfId="0" applyNumberFormat="1" applyFont="1" applyBorder="1" applyAlignment="1">
      <alignment horizontal="center" vertical="center" wrapText="1"/>
    </xf>
    <xf numFmtId="0" fontId="26" fillId="0" borderId="97" xfId="0" applyFont="1" applyBorder="1" applyAlignment="1">
      <alignment wrapText="1"/>
    </xf>
    <xf numFmtId="3" fontId="26" fillId="0" borderId="69" xfId="0" applyNumberFormat="1" applyFont="1" applyBorder="1" applyAlignment="1">
      <alignment/>
    </xf>
    <xf numFmtId="0" fontId="26" fillId="0" borderId="16" xfId="0" applyNumberFormat="1" applyFont="1" applyBorder="1" applyAlignment="1">
      <alignment/>
    </xf>
    <xf numFmtId="0" fontId="26" fillId="0" borderId="98" xfId="0" applyFont="1" applyBorder="1" applyAlignment="1">
      <alignment wrapText="1"/>
    </xf>
    <xf numFmtId="3" fontId="26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3" fontId="26" fillId="0" borderId="16" xfId="0" applyNumberFormat="1" applyFont="1" applyBorder="1" applyAlignment="1">
      <alignment wrapText="1"/>
    </xf>
    <xf numFmtId="0" fontId="19" fillId="0" borderId="16" xfId="0" applyFont="1" applyBorder="1" applyAlignment="1">
      <alignment wrapText="1"/>
    </xf>
    <xf numFmtId="3" fontId="26" fillId="0" borderId="13" xfId="0" applyNumberFormat="1" applyFont="1" applyBorder="1" applyAlignment="1">
      <alignment/>
    </xf>
    <xf numFmtId="0" fontId="26" fillId="0" borderId="13" xfId="0" applyNumberFormat="1" applyFont="1" applyBorder="1" applyAlignment="1">
      <alignment/>
    </xf>
    <xf numFmtId="0" fontId="26" fillId="0" borderId="18" xfId="0" applyFont="1" applyBorder="1" applyAlignment="1">
      <alignment wrapText="1"/>
    </xf>
    <xf numFmtId="3" fontId="26" fillId="0" borderId="20" xfId="0" applyNumberFormat="1" applyFont="1" applyBorder="1" applyAlignment="1">
      <alignment/>
    </xf>
    <xf numFmtId="3" fontId="26" fillId="0" borderId="57" xfId="0" applyNumberFormat="1" applyFont="1" applyBorder="1" applyAlignment="1">
      <alignment/>
    </xf>
    <xf numFmtId="0" fontId="31" fillId="0" borderId="13" xfId="0" applyFont="1" applyBorder="1" applyAlignment="1">
      <alignment wrapText="1"/>
    </xf>
    <xf numFmtId="3" fontId="31" fillId="0" borderId="19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3" fontId="31" fillId="0" borderId="57" xfId="0" applyNumberFormat="1" applyFont="1" applyBorder="1" applyAlignment="1">
      <alignment/>
    </xf>
    <xf numFmtId="0" fontId="26" fillId="0" borderId="85" xfId="0" applyFont="1" applyBorder="1" applyAlignment="1">
      <alignment wrapText="1"/>
    </xf>
    <xf numFmtId="3" fontId="26" fillId="0" borderId="19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 horizontal="left" wrapText="1"/>
    </xf>
    <xf numFmtId="3" fontId="23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7" fillId="3" borderId="15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 horizontal="center"/>
    </xf>
    <xf numFmtId="0" fontId="7" fillId="3" borderId="85" xfId="0" applyFont="1" applyFill="1" applyBorder="1" applyAlignment="1">
      <alignment horizontal="left" wrapText="1"/>
    </xf>
    <xf numFmtId="3" fontId="7" fillId="3" borderId="6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87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99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0" fontId="0" fillId="0" borderId="10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02" xfId="0" applyFont="1" applyBorder="1" applyAlignment="1">
      <alignment wrapText="1"/>
    </xf>
    <xf numFmtId="3" fontId="7" fillId="0" borderId="102" xfId="0" applyNumberFormat="1" applyFont="1" applyBorder="1" applyAlignment="1">
      <alignment wrapText="1"/>
    </xf>
    <xf numFmtId="0" fontId="4" fillId="0" borderId="102" xfId="0" applyFont="1" applyBorder="1" applyAlignment="1">
      <alignment wrapText="1"/>
    </xf>
    <xf numFmtId="0" fontId="4" fillId="3" borderId="13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3" borderId="13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3" fontId="4" fillId="2" borderId="13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/>
    </xf>
    <xf numFmtId="0" fontId="0" fillId="2" borderId="21" xfId="0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/>
    </xf>
    <xf numFmtId="3" fontId="0" fillId="2" borderId="13" xfId="0" applyNumberFormat="1" applyFont="1" applyFill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9" xfId="0" applyFont="1" applyBorder="1" applyAlignment="1">
      <alignment/>
    </xf>
    <xf numFmtId="3" fontId="4" fillId="3" borderId="15" xfId="0" applyNumberFormat="1" applyFont="1" applyFill="1" applyBorder="1" applyAlignment="1">
      <alignment wrapText="1"/>
    </xf>
    <xf numFmtId="0" fontId="4" fillId="2" borderId="15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left" wrapText="1"/>
    </xf>
    <xf numFmtId="3" fontId="9" fillId="0" borderId="103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7" fillId="1" borderId="13" xfId="0" applyFont="1" applyFill="1" applyBorder="1" applyAlignment="1">
      <alignment vertical="center"/>
    </xf>
    <xf numFmtId="3" fontId="7" fillId="1" borderId="57" xfId="0" applyNumberFormat="1" applyFont="1" applyFill="1" applyBorder="1" applyAlignment="1">
      <alignment/>
    </xf>
    <xf numFmtId="0" fontId="7" fillId="0" borderId="15" xfId="0" applyFont="1" applyBorder="1" applyAlignment="1">
      <alignment horizontal="left" wrapText="1"/>
    </xf>
    <xf numFmtId="3" fontId="7" fillId="0" borderId="15" xfId="0" applyNumberFormat="1" applyFont="1" applyBorder="1" applyAlignment="1">
      <alignment horizontal="right" wrapText="1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7" fillId="1" borderId="57" xfId="0" applyNumberFormat="1" applyFont="1" applyFill="1" applyBorder="1" applyAlignment="1">
      <alignment/>
    </xf>
    <xf numFmtId="0" fontId="7" fillId="3" borderId="13" xfId="0" applyFont="1" applyFill="1" applyBorder="1" applyAlignment="1">
      <alignment vertical="center"/>
    </xf>
    <xf numFmtId="3" fontId="7" fillId="3" borderId="57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21" xfId="0" applyFont="1" applyBorder="1" applyAlignment="1">
      <alignment horizontal="left" wrapText="1"/>
    </xf>
    <xf numFmtId="3" fontId="1" fillId="0" borderId="73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3" fontId="9" fillId="0" borderId="57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wrapText="1"/>
    </xf>
    <xf numFmtId="3" fontId="9" fillId="0" borderId="20" xfId="0" applyNumberFormat="1" applyFont="1" applyBorder="1" applyAlignment="1">
      <alignment horizontal="right" wrapText="1"/>
    </xf>
    <xf numFmtId="0" fontId="7" fillId="0" borderId="57" xfId="0" applyFont="1" applyBorder="1" applyAlignment="1">
      <alignment/>
    </xf>
    <xf numFmtId="0" fontId="7" fillId="0" borderId="57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</cellXfs>
  <cellStyles count="55">
    <cellStyle name="Normal" xfId="0"/>
    <cellStyle name="Comma" xfId="15"/>
    <cellStyle name="Comma [0]" xfId="16"/>
    <cellStyle name="Dziesiętny [0]_INW-99" xfId="17"/>
    <cellStyle name="Dziesiętny [0]_PL2001" xfId="18"/>
    <cellStyle name="Dziesiętny [0]_pl2003" xfId="19"/>
    <cellStyle name="Dziesiętny [0]_plan 2000- zad. nie ujęte " xfId="20"/>
    <cellStyle name="Dziesiętny [0]_potrzeb jednostek " xfId="21"/>
    <cellStyle name="Dziesiętny [0]_Powiatowy i Gminny FOŚiGW" xfId="22"/>
    <cellStyle name="Dziesiętny [0]_REMON99" xfId="23"/>
    <cellStyle name="Dziesiętny [0]_remonty-2001" xfId="24"/>
    <cellStyle name="Dziesiętny [0]_zal9-fun" xfId="25"/>
    <cellStyle name="Dziesiętny_INW-99" xfId="26"/>
    <cellStyle name="Dziesiętny_PL2001" xfId="27"/>
    <cellStyle name="Dziesiętny_pl2003" xfId="28"/>
    <cellStyle name="Dziesiętny_plan 2000- zad. nie ujęte " xfId="29"/>
    <cellStyle name="Dziesiętny_potrzeb jednostek " xfId="30"/>
    <cellStyle name="Dziesiętny_Powiatowy i Gminny FOŚiGW" xfId="31"/>
    <cellStyle name="Dziesiętny_REMON99" xfId="32"/>
    <cellStyle name="Dziesiętny_remonty-2001" xfId="33"/>
    <cellStyle name="Dziesiętny_zal9-fun" xfId="34"/>
    <cellStyle name="Normalny_INW-99" xfId="35"/>
    <cellStyle name="Normalny_INW-99 harm- 16.12.99  (2)" xfId="36"/>
    <cellStyle name="Normalny_plan 2000- zad. nie ujęte " xfId="37"/>
    <cellStyle name="Normalny_plan97-2 (3)" xfId="38"/>
    <cellStyle name="Normalny_plan97-2 (4)" xfId="39"/>
    <cellStyle name="Normalny_plan98" xfId="40"/>
    <cellStyle name="Normalny_potrzeb jednostek " xfId="41"/>
    <cellStyle name="Normalny_Powiatowy i Gminny FOŚiGW" xfId="42"/>
    <cellStyle name="Normalny_REMON99" xfId="43"/>
    <cellStyle name="Normalny_remonty-2001" xfId="44"/>
    <cellStyle name="Normalny_remonty-2001_pl2002" xfId="45"/>
    <cellStyle name="Normalny_remonty-2001_PL-2002" xfId="46"/>
    <cellStyle name="Normalny_remonty-2001_pl2003" xfId="47"/>
    <cellStyle name="Percent" xfId="48"/>
    <cellStyle name="Currency" xfId="49"/>
    <cellStyle name="Currency [0]" xfId="50"/>
    <cellStyle name="Walutowy [0]_INW-99" xfId="51"/>
    <cellStyle name="Walutowy [0]_PL2001" xfId="52"/>
    <cellStyle name="Walutowy [0]_pl2003" xfId="53"/>
    <cellStyle name="Walutowy [0]_plan 2000- zad. nie ujęte " xfId="54"/>
    <cellStyle name="Walutowy [0]_potrzeb jednostek " xfId="55"/>
    <cellStyle name="Walutowy [0]_Powiatowy i Gminny FOŚiGW" xfId="56"/>
    <cellStyle name="Walutowy [0]_REMON99" xfId="57"/>
    <cellStyle name="Walutowy [0]_remonty-2001" xfId="58"/>
    <cellStyle name="Walutowy [0]_zal9-fun" xfId="59"/>
    <cellStyle name="Walutowy_INW-99" xfId="60"/>
    <cellStyle name="Walutowy_PL2001" xfId="61"/>
    <cellStyle name="Walutowy_pl2003" xfId="62"/>
    <cellStyle name="Walutowy_plan 2000- zad. nie ujęte " xfId="63"/>
    <cellStyle name="Walutowy_potrzeb jednostek " xfId="64"/>
    <cellStyle name="Walutowy_Powiatowy i Gminny FOŚiGW" xfId="65"/>
    <cellStyle name="Walutowy_REMON99" xfId="66"/>
    <cellStyle name="Walutowy_remonty-2001" xfId="67"/>
    <cellStyle name="Walutowy_zal9-fu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11</xdr:row>
      <xdr:rowOff>0</xdr:rowOff>
    </xdr:from>
    <xdr:to>
      <xdr:col>1</xdr:col>
      <xdr:colOff>438150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28194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28194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75" zoomScaleNormal="75" workbookViewId="0" topLeftCell="A1">
      <selection activeCell="E61" sqref="E61:E63"/>
    </sheetView>
  </sheetViews>
  <sheetFormatPr defaultColWidth="9.00390625" defaultRowHeight="12.75"/>
  <cols>
    <col min="1" max="1" width="7.625" style="1" customWidth="1"/>
    <col min="2" max="2" width="9.25390625" style="2" customWidth="1"/>
    <col min="3" max="3" width="79.00390625" style="2" customWidth="1"/>
    <col min="4" max="6" width="19.25390625" style="2" customWidth="1"/>
    <col min="7" max="7" width="9.125" style="4" customWidth="1"/>
    <col min="8" max="9" width="10.375" style="4" customWidth="1"/>
    <col min="10" max="13" width="9.125" style="4" customWidth="1"/>
    <col min="14" max="16384" width="9.125" style="5" customWidth="1"/>
  </cols>
  <sheetData>
    <row r="1" spans="1:5" ht="15" customHeight="1">
      <c r="A1" s="1" t="s">
        <v>0</v>
      </c>
      <c r="E1" s="3" t="s">
        <v>1</v>
      </c>
    </row>
    <row r="2" ht="14.25">
      <c r="E2" s="3" t="s">
        <v>2</v>
      </c>
    </row>
    <row r="3" spans="1:6" ht="15.75">
      <c r="A3" s="6"/>
      <c r="B3" s="7" t="s">
        <v>3</v>
      </c>
      <c r="C3" s="8"/>
      <c r="D3" s="5"/>
      <c r="E3" s="5"/>
      <c r="F3" s="5"/>
    </row>
    <row r="4" spans="1:6" ht="13.5" thickBot="1">
      <c r="A4" s="9"/>
      <c r="B4" s="10"/>
      <c r="C4" s="10"/>
      <c r="D4" s="10"/>
      <c r="E4" s="10"/>
      <c r="F4" s="10" t="s">
        <v>4</v>
      </c>
    </row>
    <row r="5" spans="1:6" ht="27" customHeight="1" thickTop="1">
      <c r="A5" s="11"/>
      <c r="B5" s="12"/>
      <c r="C5" s="13" t="s">
        <v>5</v>
      </c>
      <c r="D5" s="852" t="s">
        <v>6</v>
      </c>
      <c r="E5" s="854" t="s">
        <v>7</v>
      </c>
      <c r="F5" s="854" t="s">
        <v>8</v>
      </c>
    </row>
    <row r="6" spans="1:6" ht="40.5" customHeight="1" thickBot="1">
      <c r="A6" s="15" t="s">
        <v>9</v>
      </c>
      <c r="B6" s="16" t="s">
        <v>10</v>
      </c>
      <c r="C6" s="17" t="s">
        <v>11</v>
      </c>
      <c r="D6" s="853"/>
      <c r="E6" s="855"/>
      <c r="F6" s="855"/>
    </row>
    <row r="7" spans="1:13" s="23" customFormat="1" ht="13.5" customHeight="1" thickBot="1" thickTop="1">
      <c r="A7" s="18">
        <v>1</v>
      </c>
      <c r="B7" s="18">
        <v>2</v>
      </c>
      <c r="C7" s="19">
        <v>3</v>
      </c>
      <c r="D7" s="20">
        <v>4</v>
      </c>
      <c r="E7" s="21">
        <v>5</v>
      </c>
      <c r="F7" s="21">
        <v>6</v>
      </c>
      <c r="G7" s="22"/>
      <c r="H7" s="22"/>
      <c r="I7" s="22"/>
      <c r="J7" s="22"/>
      <c r="K7" s="22"/>
      <c r="L7" s="22"/>
      <c r="M7" s="22"/>
    </row>
    <row r="8" spans="1:6" ht="18" customHeight="1" thickBot="1" thickTop="1">
      <c r="A8" s="24"/>
      <c r="B8" s="25"/>
      <c r="C8" s="26" t="s">
        <v>12</v>
      </c>
      <c r="D8" s="27">
        <v>658128956</v>
      </c>
      <c r="E8" s="27">
        <f>E10+E40</f>
        <v>6484600</v>
      </c>
      <c r="F8" s="27">
        <f>E8+D8</f>
        <v>664613556</v>
      </c>
    </row>
    <row r="9" spans="1:6" ht="18" customHeight="1">
      <c r="A9" s="28"/>
      <c r="B9" s="29"/>
      <c r="C9" s="29" t="s">
        <v>13</v>
      </c>
      <c r="D9" s="30"/>
      <c r="E9" s="30"/>
      <c r="F9" s="30"/>
    </row>
    <row r="10" spans="1:6" ht="18" customHeight="1" thickBot="1">
      <c r="A10" s="31"/>
      <c r="B10" s="32"/>
      <c r="C10" s="33" t="s">
        <v>14</v>
      </c>
      <c r="D10" s="34">
        <v>451383495</v>
      </c>
      <c r="E10" s="34">
        <f>E11+E32+E33+E38+E39</f>
        <v>6510000</v>
      </c>
      <c r="F10" s="34">
        <f aca="true" t="shared" si="0" ref="F10:F41">E10+D10</f>
        <v>457893495</v>
      </c>
    </row>
    <row r="11" spans="1:6" ht="18" customHeight="1" thickBot="1">
      <c r="A11" s="35"/>
      <c r="B11" s="36"/>
      <c r="C11" s="37" t="s">
        <v>15</v>
      </c>
      <c r="D11" s="38">
        <v>323367625</v>
      </c>
      <c r="E11" s="38">
        <f>E12+E21+E24+E27+E18</f>
        <v>6027000</v>
      </c>
      <c r="F11" s="38">
        <f t="shared" si="0"/>
        <v>329394625</v>
      </c>
    </row>
    <row r="12" spans="1:6" ht="18" customHeight="1" thickTop="1">
      <c r="A12" s="39">
        <v>700</v>
      </c>
      <c r="B12" s="40"/>
      <c r="C12" s="41" t="s">
        <v>16</v>
      </c>
      <c r="D12" s="42">
        <v>35252700</v>
      </c>
      <c r="E12" s="42">
        <f>E13</f>
        <v>4900000</v>
      </c>
      <c r="F12" s="42">
        <f t="shared" si="0"/>
        <v>40152700</v>
      </c>
    </row>
    <row r="13" spans="1:6" ht="18" customHeight="1">
      <c r="A13" s="43"/>
      <c r="B13" s="44">
        <v>70005</v>
      </c>
      <c r="C13" s="45" t="s">
        <v>17</v>
      </c>
      <c r="D13" s="46">
        <v>35249000</v>
      </c>
      <c r="E13" s="46">
        <f>SUM(E14:E17)</f>
        <v>4900000</v>
      </c>
      <c r="F13" s="46">
        <f t="shared" si="0"/>
        <v>40149000</v>
      </c>
    </row>
    <row r="14" spans="1:6" ht="18" customHeight="1">
      <c r="A14" s="43"/>
      <c r="B14" s="47"/>
      <c r="C14" s="48" t="s">
        <v>18</v>
      </c>
      <c r="D14" s="49">
        <v>3300000</v>
      </c>
      <c r="E14" s="49">
        <v>100000</v>
      </c>
      <c r="F14" s="49">
        <f t="shared" si="0"/>
        <v>3400000</v>
      </c>
    </row>
    <row r="15" spans="1:6" ht="18" customHeight="1">
      <c r="A15" s="28"/>
      <c r="B15" s="47"/>
      <c r="C15" s="50" t="s">
        <v>19</v>
      </c>
      <c r="D15" s="49">
        <f>2621000+40000</f>
        <v>2661000</v>
      </c>
      <c r="E15" s="49">
        <v>100000</v>
      </c>
      <c r="F15" s="49">
        <f t="shared" si="0"/>
        <v>2761000</v>
      </c>
    </row>
    <row r="16" spans="1:6" s="4" customFormat="1" ht="18" customHeight="1">
      <c r="A16" s="51"/>
      <c r="B16" s="47"/>
      <c r="C16" s="50" t="s">
        <v>20</v>
      </c>
      <c r="D16" s="49">
        <v>3000000</v>
      </c>
      <c r="E16" s="49">
        <v>700000</v>
      </c>
      <c r="F16" s="49">
        <f t="shared" si="0"/>
        <v>3700000</v>
      </c>
    </row>
    <row r="17" spans="1:6" ht="18" customHeight="1">
      <c r="A17" s="52"/>
      <c r="B17" s="53"/>
      <c r="C17" s="54" t="s">
        <v>21</v>
      </c>
      <c r="D17" s="55">
        <v>9100000</v>
      </c>
      <c r="E17" s="55">
        <f>4000000</f>
        <v>4000000</v>
      </c>
      <c r="F17" s="55">
        <f t="shared" si="0"/>
        <v>13100000</v>
      </c>
    </row>
    <row r="18" spans="1:13" s="59" customFormat="1" ht="18" customHeight="1">
      <c r="A18" s="56">
        <v>750</v>
      </c>
      <c r="B18" s="57"/>
      <c r="C18" s="40" t="s">
        <v>22</v>
      </c>
      <c r="D18" s="42">
        <v>411800</v>
      </c>
      <c r="E18" s="42">
        <f>E19</f>
        <v>30000</v>
      </c>
      <c r="F18" s="42">
        <f t="shared" si="0"/>
        <v>441800</v>
      </c>
      <c r="G18" s="58"/>
      <c r="H18" s="58"/>
      <c r="I18" s="58"/>
      <c r="J18" s="58"/>
      <c r="K18" s="58"/>
      <c r="L18" s="58"/>
      <c r="M18" s="58"/>
    </row>
    <row r="19" spans="1:6" ht="18" customHeight="1">
      <c r="A19" s="60"/>
      <c r="B19" s="44">
        <v>75023</v>
      </c>
      <c r="C19" s="61" t="s">
        <v>23</v>
      </c>
      <c r="D19" s="46">
        <v>351800</v>
      </c>
      <c r="E19" s="46">
        <f>E20</f>
        <v>30000</v>
      </c>
      <c r="F19" s="46">
        <f t="shared" si="0"/>
        <v>381800</v>
      </c>
    </row>
    <row r="20" spans="1:6" ht="18" customHeight="1">
      <c r="A20" s="52"/>
      <c r="B20" s="53"/>
      <c r="C20" s="54" t="s">
        <v>24</v>
      </c>
      <c r="D20" s="55">
        <v>170000</v>
      </c>
      <c r="E20" s="55">
        <v>30000</v>
      </c>
      <c r="F20" s="55">
        <f t="shared" si="0"/>
        <v>200000</v>
      </c>
    </row>
    <row r="21" spans="1:13" s="59" customFormat="1" ht="18" customHeight="1">
      <c r="A21" s="56">
        <v>754</v>
      </c>
      <c r="B21" s="57"/>
      <c r="C21" s="40" t="s">
        <v>25</v>
      </c>
      <c r="D21" s="42">
        <f>D22</f>
        <v>850000</v>
      </c>
      <c r="E21" s="42">
        <f>E22</f>
        <v>100000</v>
      </c>
      <c r="F21" s="42">
        <f t="shared" si="0"/>
        <v>950000</v>
      </c>
      <c r="G21" s="58"/>
      <c r="H21" s="58"/>
      <c r="I21" s="58"/>
      <c r="J21" s="58"/>
      <c r="K21" s="58"/>
      <c r="L21" s="58"/>
      <c r="M21" s="58"/>
    </row>
    <row r="22" spans="1:13" s="66" customFormat="1" ht="18" customHeight="1">
      <c r="A22" s="62"/>
      <c r="B22" s="63">
        <v>75416</v>
      </c>
      <c r="C22" s="64" t="s">
        <v>26</v>
      </c>
      <c r="D22" s="46">
        <f>D23</f>
        <v>850000</v>
      </c>
      <c r="E22" s="46">
        <f>E23</f>
        <v>100000</v>
      </c>
      <c r="F22" s="46">
        <f t="shared" si="0"/>
        <v>950000</v>
      </c>
      <c r="G22" s="65"/>
      <c r="H22" s="65"/>
      <c r="I22" s="65"/>
      <c r="J22" s="65"/>
      <c r="K22" s="65"/>
      <c r="L22" s="65"/>
      <c r="M22" s="65"/>
    </row>
    <row r="23" spans="1:13" s="68" customFormat="1" ht="18" customHeight="1">
      <c r="A23" s="35"/>
      <c r="B23" s="53"/>
      <c r="C23" s="67" t="s">
        <v>27</v>
      </c>
      <c r="D23" s="55">
        <v>850000</v>
      </c>
      <c r="E23" s="55">
        <v>100000</v>
      </c>
      <c r="F23" s="55">
        <f t="shared" si="0"/>
        <v>950000</v>
      </c>
      <c r="G23" s="4"/>
      <c r="H23" s="4"/>
      <c r="I23" s="4"/>
      <c r="J23" s="4"/>
      <c r="K23" s="4"/>
      <c r="L23" s="4"/>
      <c r="M23" s="4"/>
    </row>
    <row r="24" spans="1:6" ht="25.5">
      <c r="A24" s="56">
        <v>756</v>
      </c>
      <c r="B24" s="69"/>
      <c r="C24" s="41" t="s">
        <v>28</v>
      </c>
      <c r="D24" s="42">
        <v>268649775</v>
      </c>
      <c r="E24" s="42">
        <f>E25</f>
        <v>1000000</v>
      </c>
      <c r="F24" s="42">
        <f t="shared" si="0"/>
        <v>269649775</v>
      </c>
    </row>
    <row r="25" spans="1:6" ht="38.25">
      <c r="A25" s="43"/>
      <c r="B25" s="44">
        <v>75615</v>
      </c>
      <c r="C25" s="70" t="s">
        <v>29</v>
      </c>
      <c r="D25" s="46">
        <v>103767300</v>
      </c>
      <c r="E25" s="46">
        <f>E26</f>
        <v>1000000</v>
      </c>
      <c r="F25" s="46">
        <f t="shared" si="0"/>
        <v>104767300</v>
      </c>
    </row>
    <row r="26" spans="1:6" ht="18" customHeight="1">
      <c r="A26" s="71"/>
      <c r="B26" s="53"/>
      <c r="C26" s="36" t="s">
        <v>30</v>
      </c>
      <c r="D26" s="72">
        <f>68000000+11000000</f>
        <v>79000000</v>
      </c>
      <c r="E26" s="72">
        <v>1000000</v>
      </c>
      <c r="F26" s="72">
        <f t="shared" si="0"/>
        <v>80000000</v>
      </c>
    </row>
    <row r="27" spans="1:6" ht="18" customHeight="1">
      <c r="A27" s="56">
        <v>801</v>
      </c>
      <c r="B27" s="69"/>
      <c r="C27" s="41" t="s">
        <v>31</v>
      </c>
      <c r="D27" s="42">
        <v>6320100</v>
      </c>
      <c r="E27" s="42">
        <f>E28+E30</f>
        <v>-3000</v>
      </c>
      <c r="F27" s="42">
        <f t="shared" si="0"/>
        <v>6317100</v>
      </c>
    </row>
    <row r="28" spans="1:6" ht="18" customHeight="1">
      <c r="A28" s="43"/>
      <c r="B28" s="44">
        <v>80101</v>
      </c>
      <c r="C28" s="70" t="s">
        <v>32</v>
      </c>
      <c r="D28" s="46">
        <v>65000</v>
      </c>
      <c r="E28" s="46">
        <f>E29</f>
        <v>-1000</v>
      </c>
      <c r="F28" s="46">
        <f t="shared" si="0"/>
        <v>64000</v>
      </c>
    </row>
    <row r="29" spans="1:6" ht="18" customHeight="1">
      <c r="A29" s="43"/>
      <c r="B29" s="73"/>
      <c r="C29" s="74" t="s">
        <v>33</v>
      </c>
      <c r="D29" s="75">
        <v>1000</v>
      </c>
      <c r="E29" s="75">
        <v>-1000</v>
      </c>
      <c r="F29" s="75">
        <f t="shared" si="0"/>
        <v>0</v>
      </c>
    </row>
    <row r="30" spans="1:6" ht="18" customHeight="1">
      <c r="A30" s="43"/>
      <c r="B30" s="44">
        <v>80110</v>
      </c>
      <c r="C30" s="70" t="s">
        <v>34</v>
      </c>
      <c r="D30" s="46">
        <v>38000</v>
      </c>
      <c r="E30" s="46">
        <f>E31</f>
        <v>-2000</v>
      </c>
      <c r="F30" s="46">
        <f t="shared" si="0"/>
        <v>36000</v>
      </c>
    </row>
    <row r="31" spans="1:6" ht="18" customHeight="1">
      <c r="A31" s="35"/>
      <c r="B31" s="53"/>
      <c r="C31" s="74" t="s">
        <v>33</v>
      </c>
      <c r="D31" s="75">
        <v>2000</v>
      </c>
      <c r="E31" s="75">
        <v>-2000</v>
      </c>
      <c r="F31" s="75">
        <f t="shared" si="0"/>
        <v>0</v>
      </c>
    </row>
    <row r="32" spans="1:6" s="65" customFormat="1" ht="18" customHeight="1" thickBot="1">
      <c r="A32" s="43"/>
      <c r="B32" s="76"/>
      <c r="C32" s="37" t="s">
        <v>35</v>
      </c>
      <c r="D32" s="38">
        <v>98266914</v>
      </c>
      <c r="E32" s="38"/>
      <c r="F32" s="38">
        <f t="shared" si="0"/>
        <v>98266914</v>
      </c>
    </row>
    <row r="33" spans="1:6" ht="21" customHeight="1" thickBot="1" thickTop="1">
      <c r="A33" s="35"/>
      <c r="B33" s="36"/>
      <c r="C33" s="77" t="s">
        <v>36</v>
      </c>
      <c r="D33" s="38">
        <v>3281000</v>
      </c>
      <c r="E33" s="38">
        <f>E34</f>
        <v>483000</v>
      </c>
      <c r="F33" s="38">
        <f t="shared" si="0"/>
        <v>3764000</v>
      </c>
    </row>
    <row r="34" spans="1:6" ht="18" customHeight="1" thickTop="1">
      <c r="A34" s="56">
        <v>926</v>
      </c>
      <c r="B34" s="69"/>
      <c r="C34" s="40" t="s">
        <v>37</v>
      </c>
      <c r="D34" s="42">
        <f>D35</f>
        <v>100000</v>
      </c>
      <c r="E34" s="42">
        <f>E35</f>
        <v>483000</v>
      </c>
      <c r="F34" s="42">
        <f t="shared" si="0"/>
        <v>583000</v>
      </c>
    </row>
    <row r="35" spans="1:6" ht="18" customHeight="1">
      <c r="A35" s="62"/>
      <c r="B35" s="73">
        <v>92601</v>
      </c>
      <c r="C35" s="45" t="s">
        <v>38</v>
      </c>
      <c r="D35" s="78">
        <v>100000</v>
      </c>
      <c r="E35" s="78">
        <f>SUM(E36:E37)</f>
        <v>483000</v>
      </c>
      <c r="F35" s="78">
        <f t="shared" si="0"/>
        <v>583000</v>
      </c>
    </row>
    <row r="36" spans="1:6" ht="25.5">
      <c r="A36" s="28"/>
      <c r="B36" s="29"/>
      <c r="C36" s="79" t="s">
        <v>39</v>
      </c>
      <c r="D36" s="80"/>
      <c r="E36" s="80">
        <v>378000</v>
      </c>
      <c r="F36" s="80">
        <f t="shared" si="0"/>
        <v>378000</v>
      </c>
    </row>
    <row r="37" spans="1:6" ht="25.5">
      <c r="A37" s="28"/>
      <c r="B37" s="29"/>
      <c r="C37" s="81" t="s">
        <v>40</v>
      </c>
      <c r="D37" s="82"/>
      <c r="E37" s="82">
        <v>105000</v>
      </c>
      <c r="F37" s="82">
        <f t="shared" si="0"/>
        <v>105000</v>
      </c>
    </row>
    <row r="38" spans="1:6" ht="18" customHeight="1" thickBot="1">
      <c r="A38" s="83"/>
      <c r="B38" s="84"/>
      <c r="C38" s="85" t="s">
        <v>41</v>
      </c>
      <c r="D38" s="86">
        <v>170000</v>
      </c>
      <c r="E38" s="86"/>
      <c r="F38" s="86">
        <f t="shared" si="0"/>
        <v>170000</v>
      </c>
    </row>
    <row r="39" spans="1:6" ht="27" thickBot="1" thickTop="1">
      <c r="A39" s="28"/>
      <c r="B39" s="29"/>
      <c r="C39" s="77" t="s">
        <v>42</v>
      </c>
      <c r="D39" s="38">
        <v>26297956</v>
      </c>
      <c r="E39" s="38"/>
      <c r="F39" s="38">
        <f t="shared" si="0"/>
        <v>26297956</v>
      </c>
    </row>
    <row r="40" spans="1:17" s="4" customFormat="1" ht="24" customHeight="1" thickBot="1" thickTop="1">
      <c r="A40" s="28"/>
      <c r="B40" s="29"/>
      <c r="C40" s="33" t="s">
        <v>43</v>
      </c>
      <c r="D40" s="87">
        <v>206745461</v>
      </c>
      <c r="E40" s="87">
        <f>E41+E52+E53+E58+E54</f>
        <v>-25400</v>
      </c>
      <c r="F40" s="87">
        <f t="shared" si="0"/>
        <v>206720061</v>
      </c>
      <c r="G40" s="88"/>
      <c r="H40" s="88"/>
      <c r="I40" s="88"/>
      <c r="J40" s="88"/>
      <c r="K40" s="88"/>
      <c r="L40" s="88"/>
      <c r="M40" s="88"/>
      <c r="N40"/>
      <c r="O40"/>
      <c r="P40"/>
      <c r="Q40"/>
    </row>
    <row r="41" spans="1:17" ht="18" customHeight="1" thickBot="1">
      <c r="A41" s="35"/>
      <c r="B41" s="36"/>
      <c r="C41" s="89" t="s">
        <v>44</v>
      </c>
      <c r="D41" s="38">
        <v>47572162</v>
      </c>
      <c r="E41" s="38">
        <f>E42+E45</f>
        <v>-45400</v>
      </c>
      <c r="F41" s="38">
        <f t="shared" si="0"/>
        <v>47526762</v>
      </c>
      <c r="G41" s="88"/>
      <c r="H41" s="88"/>
      <c r="I41" s="88"/>
      <c r="J41" s="88"/>
      <c r="K41" s="88"/>
      <c r="L41" s="88"/>
      <c r="M41" s="88"/>
      <c r="N41"/>
      <c r="O41"/>
      <c r="P41"/>
      <c r="Q41"/>
    </row>
    <row r="42" spans="1:6" ht="18" customHeight="1" thickTop="1">
      <c r="A42" s="39">
        <v>700</v>
      </c>
      <c r="B42" s="40"/>
      <c r="C42" s="41" t="s">
        <v>45</v>
      </c>
      <c r="D42" s="90">
        <v>1891000</v>
      </c>
      <c r="E42" s="90">
        <f>E43</f>
        <v>-38500</v>
      </c>
      <c r="F42" s="90">
        <f aca="true" t="shared" si="1" ref="F42:F58">E42+D42</f>
        <v>1852500</v>
      </c>
    </row>
    <row r="43" spans="1:6" ht="18" customHeight="1">
      <c r="A43" s="43"/>
      <c r="B43" s="44">
        <v>70005</v>
      </c>
      <c r="C43" s="45" t="s">
        <v>46</v>
      </c>
      <c r="D43" s="91">
        <v>1891000</v>
      </c>
      <c r="E43" s="91">
        <f>E44</f>
        <v>-38500</v>
      </c>
      <c r="F43" s="91">
        <f t="shared" si="1"/>
        <v>1852500</v>
      </c>
    </row>
    <row r="44" spans="1:6" ht="18" customHeight="1">
      <c r="A44" s="28"/>
      <c r="B44" s="92"/>
      <c r="C44" s="79" t="s">
        <v>47</v>
      </c>
      <c r="D44" s="93">
        <v>41000</v>
      </c>
      <c r="E44" s="93">
        <v>-38500</v>
      </c>
      <c r="F44" s="93">
        <f t="shared" si="1"/>
        <v>2500</v>
      </c>
    </row>
    <row r="45" spans="1:6" ht="18" customHeight="1">
      <c r="A45" s="94">
        <v>801</v>
      </c>
      <c r="B45" s="95"/>
      <c r="C45" s="96" t="s">
        <v>31</v>
      </c>
      <c r="D45" s="90">
        <v>84850</v>
      </c>
      <c r="E45" s="90">
        <f>E46+E48+E50</f>
        <v>-6900</v>
      </c>
      <c r="F45" s="90">
        <f t="shared" si="1"/>
        <v>77950</v>
      </c>
    </row>
    <row r="46" spans="1:6" ht="18" customHeight="1">
      <c r="A46" s="43"/>
      <c r="B46" s="44">
        <v>80120</v>
      </c>
      <c r="C46" s="70" t="s">
        <v>48</v>
      </c>
      <c r="D46" s="46">
        <v>23400</v>
      </c>
      <c r="E46" s="46">
        <f>E47</f>
        <v>-2400</v>
      </c>
      <c r="F46" s="46">
        <f t="shared" si="1"/>
        <v>21000</v>
      </c>
    </row>
    <row r="47" spans="1:6" ht="18" customHeight="1">
      <c r="A47" s="28"/>
      <c r="B47" s="97"/>
      <c r="C47" s="74" t="s">
        <v>33</v>
      </c>
      <c r="D47" s="98">
        <v>2400</v>
      </c>
      <c r="E47" s="98">
        <v>-2400</v>
      </c>
      <c r="F47" s="98">
        <f t="shared" si="1"/>
        <v>0</v>
      </c>
    </row>
    <row r="48" spans="1:6" ht="18" customHeight="1">
      <c r="A48" s="43"/>
      <c r="B48" s="44">
        <v>80130</v>
      </c>
      <c r="C48" s="70" t="s">
        <v>49</v>
      </c>
      <c r="D48" s="46">
        <v>43500</v>
      </c>
      <c r="E48" s="46">
        <f>E49</f>
        <v>-4000</v>
      </c>
      <c r="F48" s="46">
        <f t="shared" si="1"/>
        <v>39500</v>
      </c>
    </row>
    <row r="49" spans="1:6" s="4" customFormat="1" ht="18" customHeight="1">
      <c r="A49" s="28"/>
      <c r="B49" s="99"/>
      <c r="C49" s="74" t="s">
        <v>33</v>
      </c>
      <c r="D49" s="75">
        <v>4000</v>
      </c>
      <c r="E49" s="75">
        <v>-4000</v>
      </c>
      <c r="F49" s="75">
        <f t="shared" si="1"/>
        <v>0</v>
      </c>
    </row>
    <row r="50" spans="1:6" ht="25.5">
      <c r="A50" s="28"/>
      <c r="B50" s="100">
        <v>80140</v>
      </c>
      <c r="C50" s="70" t="s">
        <v>50</v>
      </c>
      <c r="D50" s="46">
        <v>9000</v>
      </c>
      <c r="E50" s="46">
        <f>E51</f>
        <v>-500</v>
      </c>
      <c r="F50" s="46">
        <f t="shared" si="1"/>
        <v>8500</v>
      </c>
    </row>
    <row r="51" spans="1:6" s="68" customFormat="1" ht="18" customHeight="1">
      <c r="A51" s="28"/>
      <c r="B51" s="47"/>
      <c r="C51" s="67" t="s">
        <v>33</v>
      </c>
      <c r="D51" s="101">
        <v>500</v>
      </c>
      <c r="E51" s="101">
        <v>-500</v>
      </c>
      <c r="F51" s="101">
        <f t="shared" si="1"/>
        <v>0</v>
      </c>
    </row>
    <row r="52" spans="1:17" s="4" customFormat="1" ht="18" customHeight="1" thickBot="1">
      <c r="A52" s="28"/>
      <c r="B52" s="29"/>
      <c r="C52" s="77" t="s">
        <v>35</v>
      </c>
      <c r="D52" s="102">
        <v>124644394</v>
      </c>
      <c r="E52" s="102"/>
      <c r="F52" s="102">
        <f t="shared" si="1"/>
        <v>124644394</v>
      </c>
      <c r="N52" s="5"/>
      <c r="O52" s="5"/>
      <c r="P52" s="5"/>
      <c r="Q52" s="5"/>
    </row>
    <row r="53" spans="1:6" ht="18" customHeight="1" thickBot="1" thickTop="1">
      <c r="A53" s="103"/>
      <c r="B53" s="104"/>
      <c r="C53" s="105" t="s">
        <v>36</v>
      </c>
      <c r="D53" s="106">
        <v>15400000</v>
      </c>
      <c r="E53" s="106"/>
      <c r="F53" s="106">
        <f t="shared" si="1"/>
        <v>15400000</v>
      </c>
    </row>
    <row r="54" spans="1:6" ht="18" customHeight="1" thickBot="1" thickTop="1">
      <c r="A54" s="103"/>
      <c r="B54" s="107"/>
      <c r="C54" s="85" t="s">
        <v>41</v>
      </c>
      <c r="D54" s="106"/>
      <c r="E54" s="106">
        <f>E55</f>
        <v>20000</v>
      </c>
      <c r="F54" s="106">
        <f t="shared" si="1"/>
        <v>20000</v>
      </c>
    </row>
    <row r="55" spans="1:6" ht="18" customHeight="1" thickTop="1">
      <c r="A55" s="108">
        <v>921</v>
      </c>
      <c r="B55" s="109"/>
      <c r="C55" s="96" t="s">
        <v>51</v>
      </c>
      <c r="D55" s="110"/>
      <c r="E55" s="110">
        <f>E56</f>
        <v>20000</v>
      </c>
      <c r="F55" s="110">
        <f t="shared" si="1"/>
        <v>20000</v>
      </c>
    </row>
    <row r="56" spans="1:6" ht="18" customHeight="1">
      <c r="A56" s="111"/>
      <c r="B56" s="112">
        <v>92106</v>
      </c>
      <c r="C56" s="113" t="s">
        <v>52</v>
      </c>
      <c r="D56" s="107"/>
      <c r="E56" s="107">
        <f>E57</f>
        <v>20000</v>
      </c>
      <c r="F56" s="107">
        <f t="shared" si="1"/>
        <v>20000</v>
      </c>
    </row>
    <row r="57" spans="1:6" ht="25.5">
      <c r="A57" s="114"/>
      <c r="B57" s="115"/>
      <c r="C57" s="116" t="s">
        <v>53</v>
      </c>
      <c r="D57" s="107"/>
      <c r="E57" s="117">
        <v>20000</v>
      </c>
      <c r="F57" s="117">
        <f t="shared" si="1"/>
        <v>20000</v>
      </c>
    </row>
    <row r="58" spans="1:6" ht="21.75" customHeight="1" thickBot="1">
      <c r="A58" s="118"/>
      <c r="B58" s="119"/>
      <c r="C58" s="120" t="s">
        <v>54</v>
      </c>
      <c r="D58" s="121">
        <v>19128905</v>
      </c>
      <c r="E58" s="121"/>
      <c r="F58" s="121">
        <f t="shared" si="1"/>
        <v>19128905</v>
      </c>
    </row>
    <row r="59" ht="13.5" thickTop="1"/>
    <row r="61" ht="12.75">
      <c r="E61" s="2" t="s">
        <v>347</v>
      </c>
    </row>
    <row r="62" ht="12.75">
      <c r="E62" s="4" t="s">
        <v>346</v>
      </c>
    </row>
    <row r="63" ht="12.75">
      <c r="E63" s="4" t="s">
        <v>348</v>
      </c>
    </row>
  </sheetData>
  <mergeCells count="3">
    <mergeCell ref="D5:D6"/>
    <mergeCell ref="E5:E6"/>
    <mergeCell ref="F5:F6"/>
  </mergeCells>
  <printOptions horizontalCentered="1"/>
  <pageMargins left="0.5905511811023623" right="0.5905511811023623" top="0.6692913385826772" bottom="0.6692913385826772" header="0.5118110236220472" footer="0.5118110236220472"/>
  <pageSetup firstPageNumber="4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="75" zoomScaleNormal="75" workbookViewId="0" topLeftCell="A1">
      <selection activeCell="G116" sqref="G116"/>
    </sheetView>
  </sheetViews>
  <sheetFormatPr defaultColWidth="9.00390625" defaultRowHeight="12.75"/>
  <cols>
    <col min="1" max="1" width="5.375" style="122" customWidth="1"/>
    <col min="2" max="2" width="7.375" style="122" customWidth="1"/>
    <col min="3" max="3" width="65.25390625" style="122" customWidth="1"/>
    <col min="4" max="4" width="18.75390625" style="123" customWidth="1"/>
    <col min="5" max="5" width="16.25390625" style="123" customWidth="1"/>
    <col min="6" max="6" width="18.75390625" style="123" customWidth="1"/>
    <col min="7" max="8" width="17.375" style="122" customWidth="1"/>
    <col min="9" max="9" width="17.25390625" style="122" customWidth="1"/>
    <col min="10" max="10" width="21.00390625" style="122" customWidth="1"/>
    <col min="11" max="11" width="11.75390625" style="122" customWidth="1"/>
    <col min="12" max="16384" width="7.875" style="122" customWidth="1"/>
  </cols>
  <sheetData>
    <row r="1" ht="19.5" customHeight="1">
      <c r="H1" s="123" t="s">
        <v>55</v>
      </c>
    </row>
    <row r="2" ht="19.5" customHeight="1">
      <c r="H2" s="123" t="s">
        <v>56</v>
      </c>
    </row>
    <row r="3" ht="19.5" customHeight="1">
      <c r="C3" s="124" t="s">
        <v>57</v>
      </c>
    </row>
    <row r="4" ht="15.75" thickBot="1">
      <c r="F4" s="125"/>
    </row>
    <row r="5" spans="1:9" ht="17.25" customHeight="1" thickTop="1">
      <c r="A5" s="126"/>
      <c r="B5" s="126"/>
      <c r="C5" s="127"/>
      <c r="D5" s="128" t="s">
        <v>58</v>
      </c>
      <c r="E5" s="128"/>
      <c r="F5" s="128" t="s">
        <v>58</v>
      </c>
      <c r="G5" s="129" t="s">
        <v>13</v>
      </c>
      <c r="H5" s="130"/>
      <c r="I5" s="131"/>
    </row>
    <row r="6" spans="1:9" ht="22.5" customHeight="1" thickBot="1">
      <c r="A6" s="132"/>
      <c r="B6" s="132"/>
      <c r="C6" s="133" t="s">
        <v>59</v>
      </c>
      <c r="D6" s="134" t="s">
        <v>60</v>
      </c>
      <c r="E6" s="135" t="s">
        <v>7</v>
      </c>
      <c r="F6" s="134" t="s">
        <v>60</v>
      </c>
      <c r="G6" s="136" t="s">
        <v>61</v>
      </c>
      <c r="H6" s="137"/>
      <c r="I6" s="138" t="s">
        <v>62</v>
      </c>
    </row>
    <row r="7" spans="1:9" ht="30" customHeight="1" thickBot="1" thickTop="1">
      <c r="A7" s="139" t="s">
        <v>9</v>
      </c>
      <c r="B7" s="139" t="s">
        <v>63</v>
      </c>
      <c r="C7" s="140" t="s">
        <v>64</v>
      </c>
      <c r="D7" s="141" t="s">
        <v>65</v>
      </c>
      <c r="E7" s="141"/>
      <c r="F7" s="141" t="s">
        <v>66</v>
      </c>
      <c r="G7" s="142" t="s">
        <v>67</v>
      </c>
      <c r="H7" s="143" t="s">
        <v>68</v>
      </c>
      <c r="I7" s="144" t="s">
        <v>69</v>
      </c>
    </row>
    <row r="8" spans="1:9" s="148" customFormat="1" ht="14.25" customHeight="1" thickBot="1" thickTop="1">
      <c r="A8" s="145">
        <v>1</v>
      </c>
      <c r="B8" s="145">
        <v>2</v>
      </c>
      <c r="C8" s="145">
        <v>3</v>
      </c>
      <c r="D8" s="146">
        <v>4</v>
      </c>
      <c r="E8" s="146">
        <v>5</v>
      </c>
      <c r="F8" s="146">
        <v>6</v>
      </c>
      <c r="G8" s="147">
        <v>7</v>
      </c>
      <c r="H8" s="147">
        <v>8</v>
      </c>
      <c r="I8" s="147">
        <v>9</v>
      </c>
    </row>
    <row r="9" spans="1:11" s="153" customFormat="1" ht="24.75" customHeight="1" thickBot="1" thickTop="1">
      <c r="A9" s="149"/>
      <c r="B9" s="149"/>
      <c r="C9" s="150" t="s">
        <v>70</v>
      </c>
      <c r="D9" s="151">
        <v>672684956</v>
      </c>
      <c r="E9" s="151">
        <f>E11+E108+E109</f>
        <v>9484600</v>
      </c>
      <c r="F9" s="151">
        <f>E9+D9</f>
        <v>682169556</v>
      </c>
      <c r="G9" s="151">
        <f>588708956+E16-2000-100000+22400+E44+E47+E49+E52+E55+E58+E60+E62+E68+E70+E71+E72+E74+E76+E80+E81+E84+E86+E94+E99+E101+E106+E107+30000+E27</f>
        <v>591884106</v>
      </c>
      <c r="H9" s="151">
        <f>10068000+50000+E48+E59+20000+80000+5000+13000-50000</f>
        <v>10886000</v>
      </c>
      <c r="I9" s="151">
        <f>83976000+6435450+4000-180000+50000</f>
        <v>90285450</v>
      </c>
      <c r="J9" s="152">
        <f>I9+G9</f>
        <v>682169556</v>
      </c>
      <c r="K9" s="152"/>
    </row>
    <row r="10" spans="1:9" s="153" customFormat="1" ht="19.5" customHeight="1">
      <c r="A10" s="154"/>
      <c r="B10" s="154"/>
      <c r="C10" s="155" t="s">
        <v>13</v>
      </c>
      <c r="D10" s="156"/>
      <c r="E10" s="156"/>
      <c r="F10" s="156"/>
      <c r="G10" s="156"/>
      <c r="H10" s="156"/>
      <c r="I10" s="156"/>
    </row>
    <row r="11" spans="1:11" s="153" customFormat="1" ht="19.5" customHeight="1" thickBot="1">
      <c r="A11" s="157"/>
      <c r="B11" s="157"/>
      <c r="C11" s="158" t="s">
        <v>71</v>
      </c>
      <c r="D11" s="159">
        <v>627232095</v>
      </c>
      <c r="E11" s="159">
        <f>E12+E18+E22+E34+E37+E42+E45+E63+E66+E82+E87+E92+E102</f>
        <v>9484600</v>
      </c>
      <c r="F11" s="159">
        <f aca="true" t="shared" si="0" ref="F11:F20">E11+D11</f>
        <v>636716695</v>
      </c>
      <c r="G11" s="159">
        <f>543272095+E16-2000+50000+22400+E44+E48+E49+E52+E55+E58+E60+E62+E68+E70+E71+E72+E74+E76+E80+E81+E84+E86+E94+E99+E101+E106+E107+30000+80000-100000-50000</f>
        <v>546447245</v>
      </c>
      <c r="H11" s="159">
        <f>9898000+50000+E48+E59+20000+80000+5000+13000-50000</f>
        <v>10716000</v>
      </c>
      <c r="I11" s="159">
        <f>83960000+6465450-30000+4000-180000+50000</f>
        <v>90269450</v>
      </c>
      <c r="J11" s="152">
        <f aca="true" t="shared" si="1" ref="J11:J42">I11+G11</f>
        <v>636716695</v>
      </c>
      <c r="K11" s="152"/>
    </row>
    <row r="12" spans="1:10" s="153" customFormat="1" ht="19.5" customHeight="1" thickTop="1">
      <c r="A12" s="160">
        <v>600</v>
      </c>
      <c r="B12" s="161"/>
      <c r="C12" s="162" t="s">
        <v>72</v>
      </c>
      <c r="D12" s="163">
        <v>54524191</v>
      </c>
      <c r="E12" s="163">
        <f>E13+E15</f>
        <v>733000</v>
      </c>
      <c r="F12" s="163">
        <f t="shared" si="0"/>
        <v>55257191</v>
      </c>
      <c r="G12" s="163">
        <f>19245191-187850</f>
        <v>19057341</v>
      </c>
      <c r="H12" s="163">
        <v>2900000</v>
      </c>
      <c r="I12" s="163">
        <f>35279000+480000+440850</f>
        <v>36199850</v>
      </c>
      <c r="J12" s="152">
        <f t="shared" si="1"/>
        <v>55257191</v>
      </c>
    </row>
    <row r="13" spans="1:10" s="167" customFormat="1" ht="19.5" customHeight="1">
      <c r="A13" s="164"/>
      <c r="B13" s="165">
        <v>60015</v>
      </c>
      <c r="C13" s="165" t="s">
        <v>73</v>
      </c>
      <c r="D13" s="166">
        <v>38979000</v>
      </c>
      <c r="E13" s="166">
        <f>E14</f>
        <v>480000</v>
      </c>
      <c r="F13" s="166">
        <f t="shared" si="0"/>
        <v>39459000</v>
      </c>
      <c r="G13" s="166">
        <f>6400000</f>
        <v>6400000</v>
      </c>
      <c r="H13" s="166">
        <v>2200000</v>
      </c>
      <c r="I13" s="166">
        <f>32579000+480000</f>
        <v>33059000</v>
      </c>
      <c r="J13" s="152">
        <f t="shared" si="1"/>
        <v>39459000</v>
      </c>
    </row>
    <row r="14" spans="1:10" s="153" customFormat="1" ht="19.5" customHeight="1">
      <c r="A14" s="164"/>
      <c r="B14" s="168"/>
      <c r="C14" s="168" t="s">
        <v>74</v>
      </c>
      <c r="D14" s="169">
        <v>32579000</v>
      </c>
      <c r="E14" s="169">
        <v>480000</v>
      </c>
      <c r="F14" s="169">
        <f t="shared" si="0"/>
        <v>33059000</v>
      </c>
      <c r="G14" s="169"/>
      <c r="H14" s="169"/>
      <c r="I14" s="169">
        <v>33059000</v>
      </c>
      <c r="J14" s="152">
        <f t="shared" si="1"/>
        <v>33059000</v>
      </c>
    </row>
    <row r="15" spans="1:10" s="153" customFormat="1" ht="19.5" customHeight="1">
      <c r="A15" s="164"/>
      <c r="B15" s="165">
        <v>60016</v>
      </c>
      <c r="C15" s="165" t="s">
        <v>75</v>
      </c>
      <c r="D15" s="166">
        <v>5800000</v>
      </c>
      <c r="E15" s="166">
        <f>SUM(E16:E17)</f>
        <v>253000</v>
      </c>
      <c r="F15" s="166">
        <f t="shared" si="0"/>
        <v>6053000</v>
      </c>
      <c r="G15" s="166">
        <f>3100000-187850</f>
        <v>2912150</v>
      </c>
      <c r="H15" s="166">
        <f>700000</f>
        <v>700000</v>
      </c>
      <c r="I15" s="166">
        <f>2700000+440850</f>
        <v>3140850</v>
      </c>
      <c r="J15" s="152">
        <f t="shared" si="1"/>
        <v>6053000</v>
      </c>
    </row>
    <row r="16" spans="1:10" s="153" customFormat="1" ht="19.5" customHeight="1">
      <c r="A16" s="164"/>
      <c r="B16" s="164"/>
      <c r="C16" s="170" t="s">
        <v>76</v>
      </c>
      <c r="D16" s="171">
        <v>2400000</v>
      </c>
      <c r="E16" s="171">
        <v>-187850</v>
      </c>
      <c r="F16" s="171">
        <f t="shared" si="0"/>
        <v>2212150</v>
      </c>
      <c r="G16" s="171">
        <f>2400000-187850</f>
        <v>2212150</v>
      </c>
      <c r="H16" s="171"/>
      <c r="I16" s="171"/>
      <c r="J16" s="152">
        <f t="shared" si="1"/>
        <v>2212150</v>
      </c>
    </row>
    <row r="17" spans="1:10" s="153" customFormat="1" ht="19.5" customHeight="1">
      <c r="A17" s="172"/>
      <c r="B17" s="172"/>
      <c r="C17" s="172" t="s">
        <v>74</v>
      </c>
      <c r="D17" s="173">
        <v>2700000</v>
      </c>
      <c r="E17" s="173">
        <v>440850</v>
      </c>
      <c r="F17" s="173">
        <f t="shared" si="0"/>
        <v>3140850</v>
      </c>
      <c r="G17" s="173"/>
      <c r="H17" s="173"/>
      <c r="I17" s="173">
        <f>2700000+440850</f>
        <v>3140850</v>
      </c>
      <c r="J17" s="152">
        <f t="shared" si="1"/>
        <v>3140850</v>
      </c>
    </row>
    <row r="18" spans="1:10" s="153" customFormat="1" ht="19.5" customHeight="1">
      <c r="A18" s="174">
        <v>630</v>
      </c>
      <c r="B18" s="174"/>
      <c r="C18" s="174" t="s">
        <v>77</v>
      </c>
      <c r="D18" s="175">
        <v>390000</v>
      </c>
      <c r="E18" s="175">
        <f>E19</f>
        <v>10000</v>
      </c>
      <c r="F18" s="175">
        <f t="shared" si="0"/>
        <v>400000</v>
      </c>
      <c r="G18" s="175">
        <f>390000-2000</f>
        <v>388000</v>
      </c>
      <c r="H18" s="175"/>
      <c r="I18" s="175">
        <v>12000</v>
      </c>
      <c r="J18" s="152">
        <f t="shared" si="1"/>
        <v>400000</v>
      </c>
    </row>
    <row r="19" spans="1:10" s="153" customFormat="1" ht="19.5" customHeight="1">
      <c r="A19" s="164"/>
      <c r="B19" s="176">
        <v>63001</v>
      </c>
      <c r="C19" s="176" t="s">
        <v>78</v>
      </c>
      <c r="D19" s="177">
        <f>D20</f>
        <v>150000</v>
      </c>
      <c r="E19" s="177">
        <f>E20</f>
        <v>10000</v>
      </c>
      <c r="F19" s="177">
        <f t="shared" si="0"/>
        <v>160000</v>
      </c>
      <c r="G19" s="177">
        <f>150000-2000</f>
        <v>148000</v>
      </c>
      <c r="H19" s="177"/>
      <c r="I19" s="177">
        <f>I20</f>
        <v>12000</v>
      </c>
      <c r="J19" s="152">
        <f t="shared" si="1"/>
        <v>160000</v>
      </c>
    </row>
    <row r="20" spans="1:10" s="153" customFormat="1" ht="19.5" customHeight="1">
      <c r="A20" s="164"/>
      <c r="B20" s="164"/>
      <c r="C20" s="164" t="s">
        <v>79</v>
      </c>
      <c r="D20" s="178">
        <f>140000+10000</f>
        <v>150000</v>
      </c>
      <c r="E20" s="178">
        <v>10000</v>
      </c>
      <c r="F20" s="178">
        <f t="shared" si="0"/>
        <v>160000</v>
      </c>
      <c r="G20" s="178">
        <f>160000-12000</f>
        <v>148000</v>
      </c>
      <c r="H20" s="178"/>
      <c r="I20" s="178">
        <v>12000</v>
      </c>
      <c r="J20" s="152">
        <f t="shared" si="1"/>
        <v>160000</v>
      </c>
    </row>
    <row r="21" spans="1:10" s="153" customFormat="1" ht="15.75" customHeight="1">
      <c r="A21" s="172"/>
      <c r="B21" s="172"/>
      <c r="C21" s="179" t="s">
        <v>80</v>
      </c>
      <c r="D21" s="180"/>
      <c r="E21" s="180"/>
      <c r="F21" s="180"/>
      <c r="G21" s="180"/>
      <c r="H21" s="180"/>
      <c r="I21" s="180"/>
      <c r="J21" s="152">
        <f t="shared" si="1"/>
        <v>0</v>
      </c>
    </row>
    <row r="22" spans="1:10" s="153" customFormat="1" ht="19.5" customHeight="1">
      <c r="A22" s="174">
        <v>700</v>
      </c>
      <c r="B22" s="174"/>
      <c r="C22" s="174" t="s">
        <v>16</v>
      </c>
      <c r="D22" s="175">
        <v>8178000</v>
      </c>
      <c r="E22" s="175">
        <f>E23+E26+E29+E31</f>
        <v>130000</v>
      </c>
      <c r="F22" s="175">
        <f>E22+D22</f>
        <v>8308000</v>
      </c>
      <c r="G22" s="175">
        <f>4878000+130000-50000</f>
        <v>4958000</v>
      </c>
      <c r="H22" s="175">
        <f>4100000+130000-50000</f>
        <v>4180000</v>
      </c>
      <c r="I22" s="175">
        <f>3300000+50000</f>
        <v>3350000</v>
      </c>
      <c r="J22" s="152">
        <f t="shared" si="1"/>
        <v>8308000</v>
      </c>
    </row>
    <row r="23" spans="1:10" s="153" customFormat="1" ht="19.5" customHeight="1">
      <c r="A23" s="164"/>
      <c r="B23" s="176">
        <v>70001</v>
      </c>
      <c r="C23" s="176" t="s">
        <v>81</v>
      </c>
      <c r="D23" s="177">
        <f>D24</f>
        <v>4300000</v>
      </c>
      <c r="E23" s="177">
        <f>E24</f>
        <v>50000</v>
      </c>
      <c r="F23" s="177">
        <f>E23+D23</f>
        <v>4350000</v>
      </c>
      <c r="G23" s="177">
        <v>4000000</v>
      </c>
      <c r="H23" s="177">
        <v>4000000</v>
      </c>
      <c r="I23" s="177">
        <f>300000+50000</f>
        <v>350000</v>
      </c>
      <c r="J23" s="152">
        <f t="shared" si="1"/>
        <v>4350000</v>
      </c>
    </row>
    <row r="24" spans="1:10" s="153" customFormat="1" ht="19.5" customHeight="1">
      <c r="A24" s="164"/>
      <c r="B24" s="164"/>
      <c r="C24" s="181" t="s">
        <v>82</v>
      </c>
      <c r="D24" s="171">
        <v>4300000</v>
      </c>
      <c r="E24" s="171">
        <v>50000</v>
      </c>
      <c r="F24" s="171">
        <f>E24+D24</f>
        <v>4350000</v>
      </c>
      <c r="G24" s="171">
        <f>4050000-50000</f>
        <v>4000000</v>
      </c>
      <c r="H24" s="171">
        <v>4000000</v>
      </c>
      <c r="I24" s="171">
        <f>300000+E24</f>
        <v>350000</v>
      </c>
      <c r="J24" s="152">
        <f t="shared" si="1"/>
        <v>4350000</v>
      </c>
    </row>
    <row r="25" spans="1:10" s="153" customFormat="1" ht="30" customHeight="1">
      <c r="A25" s="164"/>
      <c r="B25" s="172"/>
      <c r="C25" s="182" t="s">
        <v>83</v>
      </c>
      <c r="D25" s="180"/>
      <c r="E25" s="180"/>
      <c r="F25" s="180"/>
      <c r="G25" s="180"/>
      <c r="H25" s="180"/>
      <c r="I25" s="180"/>
      <c r="J25" s="152">
        <f t="shared" si="1"/>
        <v>0</v>
      </c>
    </row>
    <row r="26" spans="1:10" s="153" customFormat="1" ht="20.25" customHeight="1">
      <c r="A26" s="164"/>
      <c r="B26" s="176">
        <v>70005</v>
      </c>
      <c r="C26" s="183" t="s">
        <v>17</v>
      </c>
      <c r="D26" s="177">
        <v>603000</v>
      </c>
      <c r="E26" s="177">
        <f>E27</f>
        <v>80000</v>
      </c>
      <c r="F26" s="177">
        <f aca="true" t="shared" si="2" ref="F26:F32">E26+D26</f>
        <v>683000</v>
      </c>
      <c r="G26" s="177">
        <f>603000+80000</f>
        <v>683000</v>
      </c>
      <c r="H26" s="177">
        <v>180000</v>
      </c>
      <c r="I26" s="177"/>
      <c r="J26" s="152">
        <f t="shared" si="1"/>
        <v>683000</v>
      </c>
    </row>
    <row r="27" spans="1:10" s="153" customFormat="1" ht="30" customHeight="1">
      <c r="A27" s="164"/>
      <c r="B27" s="184"/>
      <c r="C27" s="181" t="s">
        <v>84</v>
      </c>
      <c r="D27" s="171">
        <v>403000</v>
      </c>
      <c r="E27" s="171">
        <v>80000</v>
      </c>
      <c r="F27" s="171">
        <f t="shared" si="2"/>
        <v>483000</v>
      </c>
      <c r="G27" s="171">
        <v>483000</v>
      </c>
      <c r="H27" s="171">
        <v>180000</v>
      </c>
      <c r="I27" s="171"/>
      <c r="J27" s="152">
        <f t="shared" si="1"/>
        <v>483000</v>
      </c>
    </row>
    <row r="28" spans="1:10" s="153" customFormat="1" ht="18.75" customHeight="1">
      <c r="A28" s="164"/>
      <c r="B28" s="172"/>
      <c r="C28" s="182" t="s">
        <v>85</v>
      </c>
      <c r="D28" s="180">
        <v>100000</v>
      </c>
      <c r="E28" s="180">
        <v>80000</v>
      </c>
      <c r="F28" s="180">
        <f t="shared" si="2"/>
        <v>180000</v>
      </c>
      <c r="G28" s="180">
        <v>180000</v>
      </c>
      <c r="H28" s="180">
        <v>180000</v>
      </c>
      <c r="I28" s="180"/>
      <c r="J28" s="152">
        <f t="shared" si="1"/>
        <v>180000</v>
      </c>
    </row>
    <row r="29" spans="1:10" s="153" customFormat="1" ht="18.75" customHeight="1">
      <c r="A29" s="164"/>
      <c r="B29" s="165">
        <v>70021</v>
      </c>
      <c r="C29" s="165" t="s">
        <v>86</v>
      </c>
      <c r="D29" s="166">
        <f>D30</f>
        <v>1500000</v>
      </c>
      <c r="E29" s="166">
        <f>E30</f>
        <v>-500000</v>
      </c>
      <c r="F29" s="166">
        <f t="shared" si="2"/>
        <v>1000000</v>
      </c>
      <c r="G29" s="166"/>
      <c r="H29" s="166"/>
      <c r="I29" s="166">
        <v>1000000</v>
      </c>
      <c r="J29" s="152">
        <f t="shared" si="1"/>
        <v>1000000</v>
      </c>
    </row>
    <row r="30" spans="1:10" s="153" customFormat="1" ht="20.25" customHeight="1">
      <c r="A30" s="164"/>
      <c r="B30" s="168"/>
      <c r="C30" s="185" t="s">
        <v>87</v>
      </c>
      <c r="D30" s="169">
        <v>1500000</v>
      </c>
      <c r="E30" s="169">
        <v>-500000</v>
      </c>
      <c r="F30" s="169">
        <f t="shared" si="2"/>
        <v>1000000</v>
      </c>
      <c r="G30" s="169"/>
      <c r="H30" s="169"/>
      <c r="I30" s="169">
        <v>1000000</v>
      </c>
      <c r="J30" s="152">
        <f t="shared" si="1"/>
        <v>1000000</v>
      </c>
    </row>
    <row r="31" spans="1:10" s="153" customFormat="1" ht="18.75" customHeight="1">
      <c r="A31" s="164"/>
      <c r="B31" s="165">
        <v>70095</v>
      </c>
      <c r="C31" s="165" t="s">
        <v>88</v>
      </c>
      <c r="D31" s="166">
        <f>SUM(D32:D32)</f>
        <v>1500000</v>
      </c>
      <c r="E31" s="166">
        <f>E32</f>
        <v>500000</v>
      </c>
      <c r="F31" s="166">
        <f t="shared" si="2"/>
        <v>2000000</v>
      </c>
      <c r="G31" s="166"/>
      <c r="H31" s="166"/>
      <c r="I31" s="166">
        <f>2000000</f>
        <v>2000000</v>
      </c>
      <c r="J31" s="152">
        <f t="shared" si="1"/>
        <v>2000000</v>
      </c>
    </row>
    <row r="32" spans="1:10" s="153" customFormat="1" ht="18.75" customHeight="1">
      <c r="A32" s="172"/>
      <c r="B32" s="172"/>
      <c r="C32" s="172" t="s">
        <v>74</v>
      </c>
      <c r="D32" s="173">
        <v>1500000</v>
      </c>
      <c r="E32" s="173">
        <v>500000</v>
      </c>
      <c r="F32" s="173">
        <f t="shared" si="2"/>
        <v>2000000</v>
      </c>
      <c r="G32" s="173"/>
      <c r="H32" s="173"/>
      <c r="I32" s="173">
        <v>2000000</v>
      </c>
      <c r="J32" s="152">
        <f t="shared" si="1"/>
        <v>2000000</v>
      </c>
    </row>
    <row r="33" ht="18.75" customHeight="1">
      <c r="J33" s="152">
        <f t="shared" si="1"/>
        <v>0</v>
      </c>
    </row>
    <row r="34" spans="1:10" s="153" customFormat="1" ht="19.5" customHeight="1">
      <c r="A34" s="160">
        <v>750</v>
      </c>
      <c r="B34" s="160"/>
      <c r="C34" s="160" t="s">
        <v>22</v>
      </c>
      <c r="D34" s="163">
        <v>49133000</v>
      </c>
      <c r="E34" s="163"/>
      <c r="F34" s="163">
        <f aca="true" t="shared" si="3" ref="F34:F65">E34+D34</f>
        <v>49133000</v>
      </c>
      <c r="G34" s="163">
        <v>47333000</v>
      </c>
      <c r="H34" s="163">
        <v>510000</v>
      </c>
      <c r="I34" s="163">
        <v>1800000</v>
      </c>
      <c r="J34" s="152">
        <f t="shared" si="1"/>
        <v>49133000</v>
      </c>
    </row>
    <row r="35" spans="1:10" s="153" customFormat="1" ht="19.5" customHeight="1">
      <c r="A35" s="164"/>
      <c r="B35" s="165">
        <v>75095</v>
      </c>
      <c r="C35" s="165" t="s">
        <v>88</v>
      </c>
      <c r="D35" s="166">
        <v>1025000</v>
      </c>
      <c r="E35" s="166"/>
      <c r="F35" s="166">
        <f t="shared" si="3"/>
        <v>1025000</v>
      </c>
      <c r="G35" s="166">
        <v>1025000</v>
      </c>
      <c r="H35" s="166"/>
      <c r="I35" s="166"/>
      <c r="J35" s="152">
        <f t="shared" si="1"/>
        <v>1025000</v>
      </c>
    </row>
    <row r="36" spans="1:10" s="153" customFormat="1" ht="19.5" customHeight="1">
      <c r="A36" s="172"/>
      <c r="B36" s="168"/>
      <c r="C36" s="168" t="s">
        <v>89</v>
      </c>
      <c r="D36" s="169">
        <v>1000000</v>
      </c>
      <c r="E36" s="169"/>
      <c r="F36" s="169">
        <f t="shared" si="3"/>
        <v>1000000</v>
      </c>
      <c r="G36" s="169">
        <v>1000000</v>
      </c>
      <c r="H36" s="169"/>
      <c r="I36" s="169"/>
      <c r="J36" s="152">
        <f t="shared" si="1"/>
        <v>1000000</v>
      </c>
    </row>
    <row r="37" spans="1:10" s="153" customFormat="1" ht="21" customHeight="1">
      <c r="A37" s="186">
        <v>754</v>
      </c>
      <c r="B37" s="174"/>
      <c r="C37" s="187" t="s">
        <v>25</v>
      </c>
      <c r="D37" s="175">
        <v>4527500</v>
      </c>
      <c r="E37" s="175">
        <f>E38+E40</f>
        <v>500000</v>
      </c>
      <c r="F37" s="175">
        <f t="shared" si="3"/>
        <v>5027500</v>
      </c>
      <c r="G37" s="175">
        <f>0+40000+4037500+22400+100000</f>
        <v>4199900</v>
      </c>
      <c r="H37" s="175"/>
      <c r="I37" s="175">
        <f>150000-22400+500000+100000+100000</f>
        <v>827600</v>
      </c>
      <c r="J37" s="152">
        <f t="shared" si="1"/>
        <v>5027500</v>
      </c>
    </row>
    <row r="38" spans="1:10" s="153" customFormat="1" ht="19.5" customHeight="1">
      <c r="A38" s="164"/>
      <c r="B38" s="176">
        <v>75405</v>
      </c>
      <c r="C38" s="176" t="s">
        <v>90</v>
      </c>
      <c r="D38" s="177">
        <f>D39</f>
        <v>100000</v>
      </c>
      <c r="E38" s="177"/>
      <c r="F38" s="177">
        <f t="shared" si="3"/>
        <v>100000</v>
      </c>
      <c r="G38" s="177"/>
      <c r="H38" s="177"/>
      <c r="I38" s="177">
        <v>100000</v>
      </c>
      <c r="J38" s="152">
        <f t="shared" si="1"/>
        <v>100000</v>
      </c>
    </row>
    <row r="39" spans="1:10" s="153" customFormat="1" ht="42.75">
      <c r="A39" s="164"/>
      <c r="B39" s="168"/>
      <c r="C39" s="185" t="s">
        <v>91</v>
      </c>
      <c r="D39" s="169">
        <v>100000</v>
      </c>
      <c r="E39" s="169"/>
      <c r="F39" s="169">
        <f t="shared" si="3"/>
        <v>100000</v>
      </c>
      <c r="G39" s="169"/>
      <c r="H39" s="169"/>
      <c r="I39" s="169">
        <v>100000</v>
      </c>
      <c r="J39" s="152">
        <f t="shared" si="1"/>
        <v>100000</v>
      </c>
    </row>
    <row r="40" spans="1:10" s="153" customFormat="1" ht="19.5" customHeight="1">
      <c r="A40" s="164"/>
      <c r="B40" s="165">
        <v>75495</v>
      </c>
      <c r="C40" s="165" t="s">
        <v>88</v>
      </c>
      <c r="D40" s="166">
        <v>250000</v>
      </c>
      <c r="E40" s="166">
        <f>E41</f>
        <v>500000</v>
      </c>
      <c r="F40" s="166">
        <f t="shared" si="3"/>
        <v>750000</v>
      </c>
      <c r="G40" s="166">
        <f>G41+100000</f>
        <v>122400</v>
      </c>
      <c r="H40" s="166"/>
      <c r="I40" s="166">
        <f>I41</f>
        <v>627600</v>
      </c>
      <c r="J40" s="152">
        <f t="shared" si="1"/>
        <v>750000</v>
      </c>
    </row>
    <row r="41" spans="1:10" s="153" customFormat="1" ht="19.5" customHeight="1">
      <c r="A41" s="172"/>
      <c r="B41" s="168"/>
      <c r="C41" s="168" t="s">
        <v>92</v>
      </c>
      <c r="D41" s="169">
        <v>150000</v>
      </c>
      <c r="E41" s="169">
        <f>500000</f>
        <v>500000</v>
      </c>
      <c r="F41" s="169">
        <f t="shared" si="3"/>
        <v>650000</v>
      </c>
      <c r="G41" s="169">
        <v>22400</v>
      </c>
      <c r="H41" s="169"/>
      <c r="I41" s="169">
        <f>650000-22400</f>
        <v>627600</v>
      </c>
      <c r="J41" s="152">
        <f t="shared" si="1"/>
        <v>650000</v>
      </c>
    </row>
    <row r="42" spans="1:10" s="153" customFormat="1" ht="19.5" customHeight="1">
      <c r="A42" s="174">
        <v>758</v>
      </c>
      <c r="B42" s="174"/>
      <c r="C42" s="174" t="s">
        <v>93</v>
      </c>
      <c r="D42" s="175">
        <v>11463204</v>
      </c>
      <c r="E42" s="175">
        <f>E43</f>
        <v>55600</v>
      </c>
      <c r="F42" s="175">
        <f t="shared" si="3"/>
        <v>11518804</v>
      </c>
      <c r="G42" s="175">
        <f>11463204+55600</f>
        <v>11518804</v>
      </c>
      <c r="H42" s="175"/>
      <c r="I42" s="175"/>
      <c r="J42" s="152">
        <f t="shared" si="1"/>
        <v>11518804</v>
      </c>
    </row>
    <row r="43" spans="1:10" s="153" customFormat="1" ht="19.5" customHeight="1">
      <c r="A43" s="164"/>
      <c r="B43" s="165">
        <v>75818</v>
      </c>
      <c r="C43" s="165" t="s">
        <v>94</v>
      </c>
      <c r="D43" s="166">
        <v>8050578</v>
      </c>
      <c r="E43" s="166">
        <f>E44</f>
        <v>55600</v>
      </c>
      <c r="F43" s="166">
        <f t="shared" si="3"/>
        <v>8106178</v>
      </c>
      <c r="G43" s="166">
        <f>8050578+55600</f>
        <v>8106178</v>
      </c>
      <c r="H43" s="166"/>
      <c r="I43" s="166"/>
      <c r="J43" s="152">
        <f aca="true" t="shared" si="4" ref="J43:J74">I43+G43</f>
        <v>8106178</v>
      </c>
    </row>
    <row r="44" spans="1:10" s="153" customFormat="1" ht="20.25" customHeight="1">
      <c r="A44" s="172"/>
      <c r="B44" s="168"/>
      <c r="C44" s="185" t="s">
        <v>95</v>
      </c>
      <c r="D44" s="169">
        <f>6642118+100-29140+3000+16500-6000+11000+10000-44000-3000</f>
        <v>6600578</v>
      </c>
      <c r="E44" s="169">
        <v>55600</v>
      </c>
      <c r="F44" s="169">
        <f t="shared" si="3"/>
        <v>6656178</v>
      </c>
      <c r="G44" s="169">
        <v>6656178</v>
      </c>
      <c r="H44" s="169"/>
      <c r="I44" s="169"/>
      <c r="J44" s="152">
        <f t="shared" si="4"/>
        <v>6656178</v>
      </c>
    </row>
    <row r="45" spans="1:10" s="153" customFormat="1" ht="18" customHeight="1">
      <c r="A45" s="174">
        <v>801</v>
      </c>
      <c r="B45" s="174"/>
      <c r="C45" s="174" t="s">
        <v>31</v>
      </c>
      <c r="D45" s="175">
        <v>316213200</v>
      </c>
      <c r="E45" s="175">
        <f>E46+E51+E54+E57+E61</f>
        <v>2246000</v>
      </c>
      <c r="F45" s="175">
        <f t="shared" si="3"/>
        <v>318459200</v>
      </c>
      <c r="G45" s="175">
        <f>288403200+300000+78000+151000+108000+400000+E60+E62</f>
        <v>289799200</v>
      </c>
      <c r="H45" s="175">
        <f>1413000+300000+400000</f>
        <v>2113000</v>
      </c>
      <c r="I45" s="175">
        <f>27810000-250000+1100000</f>
        <v>28660000</v>
      </c>
      <c r="J45" s="152">
        <f t="shared" si="4"/>
        <v>318459200</v>
      </c>
    </row>
    <row r="46" spans="1:10" s="153" customFormat="1" ht="20.25" customHeight="1">
      <c r="A46" s="164"/>
      <c r="B46" s="176">
        <v>80101</v>
      </c>
      <c r="C46" s="176" t="s">
        <v>32</v>
      </c>
      <c r="D46" s="177">
        <v>90478000</v>
      </c>
      <c r="E46" s="177">
        <f>E47+E49+E50</f>
        <v>128000</v>
      </c>
      <c r="F46" s="177">
        <f t="shared" si="3"/>
        <v>90606000</v>
      </c>
      <c r="G46" s="177">
        <f>79888000+300000+78000</f>
        <v>80266000</v>
      </c>
      <c r="H46" s="177">
        <f>490000+300000</f>
        <v>790000</v>
      </c>
      <c r="I46" s="177">
        <f>10590000-250000</f>
        <v>10340000</v>
      </c>
      <c r="J46" s="152">
        <f t="shared" si="4"/>
        <v>90606000</v>
      </c>
    </row>
    <row r="47" spans="1:10" s="153" customFormat="1" ht="20.25" customHeight="1">
      <c r="A47" s="164"/>
      <c r="B47" s="188"/>
      <c r="C47" s="170" t="s">
        <v>96</v>
      </c>
      <c r="D47" s="171">
        <v>11770000</v>
      </c>
      <c r="E47" s="171">
        <v>300000</v>
      </c>
      <c r="F47" s="171">
        <f t="shared" si="3"/>
        <v>12070000</v>
      </c>
      <c r="G47" s="171">
        <v>12070000</v>
      </c>
      <c r="H47" s="171">
        <v>790000</v>
      </c>
      <c r="I47" s="171"/>
      <c r="J47" s="152">
        <f t="shared" si="4"/>
        <v>12070000</v>
      </c>
    </row>
    <row r="48" spans="1:10" s="153" customFormat="1" ht="20.25" customHeight="1">
      <c r="A48" s="164"/>
      <c r="B48" s="188"/>
      <c r="C48" s="189" t="s">
        <v>97</v>
      </c>
      <c r="D48" s="190">
        <v>490000</v>
      </c>
      <c r="E48" s="190">
        <v>300000</v>
      </c>
      <c r="F48" s="190">
        <f t="shared" si="3"/>
        <v>790000</v>
      </c>
      <c r="G48" s="190">
        <v>790000</v>
      </c>
      <c r="H48" s="190">
        <v>790000</v>
      </c>
      <c r="I48" s="190"/>
      <c r="J48" s="152">
        <f t="shared" si="4"/>
        <v>790000</v>
      </c>
    </row>
    <row r="49" spans="1:10" s="153" customFormat="1" ht="19.5" customHeight="1">
      <c r="A49" s="164"/>
      <c r="B49" s="164"/>
      <c r="C49" s="191" t="s">
        <v>98</v>
      </c>
      <c r="D49" s="192">
        <v>900000</v>
      </c>
      <c r="E49" s="192">
        <v>78000</v>
      </c>
      <c r="F49" s="192">
        <f t="shared" si="3"/>
        <v>978000</v>
      </c>
      <c r="G49" s="192">
        <v>978000</v>
      </c>
      <c r="H49" s="192"/>
      <c r="I49" s="192"/>
      <c r="J49" s="152">
        <f t="shared" si="4"/>
        <v>978000</v>
      </c>
    </row>
    <row r="50" spans="1:10" s="153" customFormat="1" ht="19.5" customHeight="1">
      <c r="A50" s="164"/>
      <c r="B50" s="172"/>
      <c r="C50" s="172" t="s">
        <v>74</v>
      </c>
      <c r="D50" s="173">
        <f>10490000+100000</f>
        <v>10590000</v>
      </c>
      <c r="E50" s="173">
        <v>-250000</v>
      </c>
      <c r="F50" s="173">
        <f t="shared" si="3"/>
        <v>10340000</v>
      </c>
      <c r="G50" s="173"/>
      <c r="H50" s="173"/>
      <c r="I50" s="173">
        <v>10340000</v>
      </c>
      <c r="J50" s="152">
        <f t="shared" si="4"/>
        <v>10340000</v>
      </c>
    </row>
    <row r="51" spans="1:10" s="153" customFormat="1" ht="19.5" customHeight="1">
      <c r="A51" s="164"/>
      <c r="B51" s="165">
        <v>80104</v>
      </c>
      <c r="C51" s="165" t="s">
        <v>99</v>
      </c>
      <c r="D51" s="166">
        <v>44266000</v>
      </c>
      <c r="E51" s="166">
        <f>E52</f>
        <v>151000</v>
      </c>
      <c r="F51" s="166">
        <f t="shared" si="3"/>
        <v>44417000</v>
      </c>
      <c r="G51" s="166">
        <f>44266000+151000</f>
        <v>44417000</v>
      </c>
      <c r="H51" s="166"/>
      <c r="I51" s="166"/>
      <c r="J51" s="152">
        <f t="shared" si="4"/>
        <v>44417000</v>
      </c>
    </row>
    <row r="52" spans="1:10" s="153" customFormat="1" ht="19.5" customHeight="1">
      <c r="A52" s="164"/>
      <c r="B52" s="164"/>
      <c r="C52" s="191" t="s">
        <v>100</v>
      </c>
      <c r="D52" s="192">
        <v>43087000</v>
      </c>
      <c r="E52" s="192">
        <f>E53</f>
        <v>151000</v>
      </c>
      <c r="F52" s="192">
        <f t="shared" si="3"/>
        <v>43238000</v>
      </c>
      <c r="G52" s="192">
        <f>43087000+151000</f>
        <v>43238000</v>
      </c>
      <c r="H52" s="192"/>
      <c r="I52" s="192"/>
      <c r="J52" s="152">
        <f t="shared" si="4"/>
        <v>43238000</v>
      </c>
    </row>
    <row r="53" spans="1:10" s="153" customFormat="1" ht="19.5" customHeight="1">
      <c r="A53" s="164"/>
      <c r="B53" s="172"/>
      <c r="C53" s="172" t="s">
        <v>101</v>
      </c>
      <c r="D53" s="173">
        <v>2850000</v>
      </c>
      <c r="E53" s="173">
        <v>151000</v>
      </c>
      <c r="F53" s="173">
        <f t="shared" si="3"/>
        <v>3001000</v>
      </c>
      <c r="G53" s="173">
        <v>3001000</v>
      </c>
      <c r="H53" s="173"/>
      <c r="I53" s="173"/>
      <c r="J53" s="152">
        <f t="shared" si="4"/>
        <v>3001000</v>
      </c>
    </row>
    <row r="54" spans="1:10" s="193" customFormat="1" ht="19.5" customHeight="1">
      <c r="A54" s="188"/>
      <c r="B54" s="165">
        <v>80110</v>
      </c>
      <c r="C54" s="165" t="s">
        <v>34</v>
      </c>
      <c r="D54" s="166">
        <v>50662000</v>
      </c>
      <c r="E54" s="166">
        <f>E55+E56</f>
        <v>1208000</v>
      </c>
      <c r="F54" s="166">
        <f t="shared" si="3"/>
        <v>51870000</v>
      </c>
      <c r="G54" s="166">
        <f>44772000+108000</f>
        <v>44880000</v>
      </c>
      <c r="H54" s="166">
        <f>923000</f>
        <v>923000</v>
      </c>
      <c r="I54" s="166">
        <f>5890000+1100000</f>
        <v>6990000</v>
      </c>
      <c r="J54" s="152">
        <f t="shared" si="4"/>
        <v>51870000</v>
      </c>
    </row>
    <row r="55" spans="1:10" s="153" customFormat="1" ht="19.5" customHeight="1">
      <c r="A55" s="164"/>
      <c r="B55" s="164"/>
      <c r="C55" s="191" t="s">
        <v>102</v>
      </c>
      <c r="D55" s="192">
        <v>1900000</v>
      </c>
      <c r="E55" s="192">
        <v>108000</v>
      </c>
      <c r="F55" s="192">
        <f t="shared" si="3"/>
        <v>2008000</v>
      </c>
      <c r="G55" s="192">
        <v>2008000</v>
      </c>
      <c r="H55" s="192"/>
      <c r="I55" s="192"/>
      <c r="J55" s="152">
        <f t="shared" si="4"/>
        <v>2008000</v>
      </c>
    </row>
    <row r="56" spans="1:10" s="153" customFormat="1" ht="19.5" customHeight="1">
      <c r="A56" s="164"/>
      <c r="B56" s="172"/>
      <c r="C56" s="172" t="s">
        <v>74</v>
      </c>
      <c r="D56" s="173">
        <f>5990000-100000</f>
        <v>5890000</v>
      </c>
      <c r="E56" s="173">
        <v>1100000</v>
      </c>
      <c r="F56" s="173">
        <f t="shared" si="3"/>
        <v>6990000</v>
      </c>
      <c r="G56" s="173"/>
      <c r="H56" s="173"/>
      <c r="I56" s="173">
        <v>6990000</v>
      </c>
      <c r="J56" s="152">
        <f t="shared" si="4"/>
        <v>6990000</v>
      </c>
    </row>
    <row r="57" spans="1:10" s="193" customFormat="1" ht="19.5" customHeight="1">
      <c r="A57" s="188"/>
      <c r="B57" s="165">
        <v>80120</v>
      </c>
      <c r="C57" s="165" t="s">
        <v>48</v>
      </c>
      <c r="D57" s="166">
        <f>39258000</f>
        <v>39258000</v>
      </c>
      <c r="E57" s="166">
        <f>E58+E60</f>
        <v>545000</v>
      </c>
      <c r="F57" s="166">
        <f t="shared" si="3"/>
        <v>39803000</v>
      </c>
      <c r="G57" s="166">
        <f>39078000+400000+145000</f>
        <v>39623000</v>
      </c>
      <c r="H57" s="166">
        <f>H59</f>
        <v>400000</v>
      </c>
      <c r="I57" s="166">
        <v>180000</v>
      </c>
      <c r="J57" s="152">
        <f t="shared" si="4"/>
        <v>39803000</v>
      </c>
    </row>
    <row r="58" spans="1:10" s="153" customFormat="1" ht="19.5" customHeight="1">
      <c r="A58" s="164"/>
      <c r="B58" s="164"/>
      <c r="C58" s="194" t="s">
        <v>96</v>
      </c>
      <c r="D58" s="195">
        <v>4500000</v>
      </c>
      <c r="E58" s="195">
        <v>400000</v>
      </c>
      <c r="F58" s="195">
        <f t="shared" si="3"/>
        <v>4900000</v>
      </c>
      <c r="G58" s="195">
        <v>4900000</v>
      </c>
      <c r="H58" s="195">
        <v>400000</v>
      </c>
      <c r="I58" s="195"/>
      <c r="J58" s="152">
        <f t="shared" si="4"/>
        <v>4900000</v>
      </c>
    </row>
    <row r="59" spans="1:10" s="153" customFormat="1" ht="19.5" customHeight="1">
      <c r="A59" s="164"/>
      <c r="B59" s="164"/>
      <c r="C59" s="189" t="s">
        <v>97</v>
      </c>
      <c r="D59" s="190"/>
      <c r="E59" s="190">
        <v>400000</v>
      </c>
      <c r="F59" s="190">
        <f t="shared" si="3"/>
        <v>400000</v>
      </c>
      <c r="G59" s="190">
        <v>400000</v>
      </c>
      <c r="H59" s="190">
        <v>400000</v>
      </c>
      <c r="I59" s="190"/>
      <c r="J59" s="152">
        <f t="shared" si="4"/>
        <v>400000</v>
      </c>
    </row>
    <row r="60" spans="1:10" s="153" customFormat="1" ht="19.5" customHeight="1">
      <c r="A60" s="164"/>
      <c r="B60" s="172"/>
      <c r="C60" s="196" t="s">
        <v>103</v>
      </c>
      <c r="D60" s="197">
        <v>3600000</v>
      </c>
      <c r="E60" s="197">
        <v>145000</v>
      </c>
      <c r="F60" s="197">
        <f t="shared" si="3"/>
        <v>3745000</v>
      </c>
      <c r="G60" s="197">
        <v>3745000</v>
      </c>
      <c r="H60" s="197"/>
      <c r="I60" s="197"/>
      <c r="J60" s="152">
        <f t="shared" si="4"/>
        <v>3745000</v>
      </c>
    </row>
    <row r="61" spans="1:10" s="193" customFormat="1" ht="19.5" customHeight="1">
      <c r="A61" s="188"/>
      <c r="B61" s="165">
        <v>80130</v>
      </c>
      <c r="C61" s="165" t="s">
        <v>104</v>
      </c>
      <c r="D61" s="166">
        <v>55045000</v>
      </c>
      <c r="E61" s="166">
        <f>E62</f>
        <v>214000</v>
      </c>
      <c r="F61" s="166">
        <f t="shared" si="3"/>
        <v>55259000</v>
      </c>
      <c r="G61" s="166">
        <f>43895000+E62</f>
        <v>44109000</v>
      </c>
      <c r="H61" s="166"/>
      <c r="I61" s="166">
        <v>11150000</v>
      </c>
      <c r="J61" s="152">
        <f t="shared" si="4"/>
        <v>55259000</v>
      </c>
    </row>
    <row r="62" spans="1:10" s="153" customFormat="1" ht="20.25" customHeight="1">
      <c r="A62" s="172"/>
      <c r="B62" s="172"/>
      <c r="C62" s="196" t="s">
        <v>105</v>
      </c>
      <c r="D62" s="197">
        <f>3100000+30000</f>
        <v>3130000</v>
      </c>
      <c r="E62" s="197">
        <v>214000</v>
      </c>
      <c r="F62" s="197">
        <f t="shared" si="3"/>
        <v>3344000</v>
      </c>
      <c r="G62" s="197">
        <v>3344000</v>
      </c>
      <c r="H62" s="197"/>
      <c r="I62" s="197"/>
      <c r="J62" s="152">
        <f t="shared" si="4"/>
        <v>3344000</v>
      </c>
    </row>
    <row r="63" spans="1:10" s="153" customFormat="1" ht="19.5" customHeight="1">
      <c r="A63" s="174">
        <v>851</v>
      </c>
      <c r="B63" s="174"/>
      <c r="C63" s="174" t="s">
        <v>106</v>
      </c>
      <c r="D63" s="175">
        <v>7220000</v>
      </c>
      <c r="E63" s="175">
        <f>E64</f>
        <v>180000</v>
      </c>
      <c r="F63" s="175">
        <f t="shared" si="3"/>
        <v>7400000</v>
      </c>
      <c r="G63" s="175">
        <f>5820000</f>
        <v>5820000</v>
      </c>
      <c r="H63" s="175"/>
      <c r="I63" s="175">
        <f>1400000+180000</f>
        <v>1580000</v>
      </c>
      <c r="J63" s="152">
        <f t="shared" si="4"/>
        <v>7400000</v>
      </c>
    </row>
    <row r="64" spans="1:10" s="193" customFormat="1" ht="19.5" customHeight="1">
      <c r="A64" s="188"/>
      <c r="B64" s="176">
        <v>85121</v>
      </c>
      <c r="C64" s="176" t="s">
        <v>107</v>
      </c>
      <c r="D64" s="177">
        <v>2000000</v>
      </c>
      <c r="E64" s="177">
        <f>E65</f>
        <v>180000</v>
      </c>
      <c r="F64" s="177">
        <f t="shared" si="3"/>
        <v>2180000</v>
      </c>
      <c r="G64" s="177">
        <f>2000000</f>
        <v>2000000</v>
      </c>
      <c r="H64" s="177"/>
      <c r="I64" s="177">
        <v>180000</v>
      </c>
      <c r="J64" s="152">
        <f t="shared" si="4"/>
        <v>2180000</v>
      </c>
    </row>
    <row r="65" spans="1:10" s="153" customFormat="1" ht="18.75" customHeight="1">
      <c r="A65" s="172"/>
      <c r="B65" s="172"/>
      <c r="C65" s="172" t="s">
        <v>74</v>
      </c>
      <c r="D65" s="173"/>
      <c r="E65" s="173">
        <f>180000</f>
        <v>180000</v>
      </c>
      <c r="F65" s="173">
        <f t="shared" si="3"/>
        <v>180000</v>
      </c>
      <c r="G65" s="173"/>
      <c r="H65" s="173"/>
      <c r="I65" s="173">
        <v>180000</v>
      </c>
      <c r="J65" s="152">
        <f t="shared" si="4"/>
        <v>180000</v>
      </c>
    </row>
    <row r="66" spans="1:10" s="153" customFormat="1" ht="19.5" customHeight="1">
      <c r="A66" s="174">
        <v>852</v>
      </c>
      <c r="B66" s="174"/>
      <c r="C66" s="174" t="s">
        <v>108</v>
      </c>
      <c r="D66" s="175">
        <v>70348800</v>
      </c>
      <c r="E66" s="175">
        <f>E67+E69+E73+E75+E79</f>
        <v>1373000</v>
      </c>
      <c r="F66" s="175">
        <f aca="true" t="shared" si="5" ref="F66:F94">E66+D66</f>
        <v>71721800</v>
      </c>
      <c r="G66" s="175">
        <f>69488800+E68+E70+E71+E72+E74+E76+E80+E81</f>
        <v>70857800</v>
      </c>
      <c r="H66" s="175">
        <v>73000</v>
      </c>
      <c r="I66" s="175">
        <f>860000+E78</f>
        <v>864000</v>
      </c>
      <c r="J66" s="152">
        <f t="shared" si="4"/>
        <v>71721800</v>
      </c>
    </row>
    <row r="67" spans="1:10" s="153" customFormat="1" ht="19.5" customHeight="1">
      <c r="A67" s="164"/>
      <c r="B67" s="176">
        <v>85201</v>
      </c>
      <c r="C67" s="176" t="s">
        <v>109</v>
      </c>
      <c r="D67" s="177">
        <v>8037700</v>
      </c>
      <c r="E67" s="177">
        <f>E68</f>
        <v>800000</v>
      </c>
      <c r="F67" s="177">
        <f t="shared" si="5"/>
        <v>8837700</v>
      </c>
      <c r="G67" s="177">
        <f>8037700+800000</f>
        <v>8837700</v>
      </c>
      <c r="H67" s="177"/>
      <c r="I67" s="177"/>
      <c r="J67" s="152">
        <f t="shared" si="4"/>
        <v>8837700</v>
      </c>
    </row>
    <row r="68" spans="1:10" s="153" customFormat="1" ht="19.5" customHeight="1">
      <c r="A68" s="164"/>
      <c r="B68" s="172"/>
      <c r="C68" s="196" t="s">
        <v>110</v>
      </c>
      <c r="D68" s="197">
        <v>700000</v>
      </c>
      <c r="E68" s="197">
        <v>800000</v>
      </c>
      <c r="F68" s="197">
        <f t="shared" si="5"/>
        <v>1500000</v>
      </c>
      <c r="G68" s="197">
        <v>1500000</v>
      </c>
      <c r="H68" s="197"/>
      <c r="I68" s="197"/>
      <c r="J68" s="152">
        <f t="shared" si="4"/>
        <v>1500000</v>
      </c>
    </row>
    <row r="69" spans="1:10" s="153" customFormat="1" ht="19.5" customHeight="1">
      <c r="A69" s="164"/>
      <c r="B69" s="165">
        <v>85202</v>
      </c>
      <c r="C69" s="165" t="s">
        <v>111</v>
      </c>
      <c r="D69" s="166">
        <v>12180000</v>
      </c>
      <c r="E69" s="166">
        <f>SUM(E70:E72)</f>
        <v>510000</v>
      </c>
      <c r="F69" s="166">
        <f t="shared" si="5"/>
        <v>12690000</v>
      </c>
      <c r="G69" s="166">
        <f>12020000+E70+E71+E72</f>
        <v>12530000</v>
      </c>
      <c r="H69" s="166"/>
      <c r="I69" s="166">
        <f>160000</f>
        <v>160000</v>
      </c>
      <c r="J69" s="152">
        <f t="shared" si="4"/>
        <v>12690000</v>
      </c>
    </row>
    <row r="70" spans="1:10" s="153" customFormat="1" ht="19.5" customHeight="1">
      <c r="A70" s="164"/>
      <c r="B70" s="188"/>
      <c r="C70" s="164" t="s">
        <v>112</v>
      </c>
      <c r="D70" s="178">
        <v>7243000</v>
      </c>
      <c r="E70" s="178">
        <v>108200</v>
      </c>
      <c r="F70" s="178">
        <f t="shared" si="5"/>
        <v>7351200</v>
      </c>
      <c r="G70" s="178">
        <v>7351200</v>
      </c>
      <c r="H70" s="178"/>
      <c r="I70" s="178"/>
      <c r="J70" s="152">
        <f t="shared" si="4"/>
        <v>7351200</v>
      </c>
    </row>
    <row r="71" spans="1:10" s="153" customFormat="1" ht="19.5" customHeight="1">
      <c r="A71" s="164"/>
      <c r="B71" s="188"/>
      <c r="C71" s="194" t="s">
        <v>113</v>
      </c>
      <c r="D71" s="195">
        <v>3043000</v>
      </c>
      <c r="E71" s="195">
        <f>200000+180000</f>
        <v>380000</v>
      </c>
      <c r="F71" s="195">
        <f t="shared" si="5"/>
        <v>3423000</v>
      </c>
      <c r="G71" s="195">
        <v>3423000</v>
      </c>
      <c r="H71" s="195"/>
      <c r="I71" s="195"/>
      <c r="J71" s="152">
        <f t="shared" si="4"/>
        <v>3423000</v>
      </c>
    </row>
    <row r="72" spans="1:10" s="153" customFormat="1" ht="19.5" customHeight="1">
      <c r="A72" s="164"/>
      <c r="B72" s="165"/>
      <c r="C72" s="198" t="s">
        <v>114</v>
      </c>
      <c r="D72" s="197">
        <v>1414000</v>
      </c>
      <c r="E72" s="197">
        <v>21800</v>
      </c>
      <c r="F72" s="197">
        <f t="shared" si="5"/>
        <v>1435800</v>
      </c>
      <c r="G72" s="197">
        <v>1435800</v>
      </c>
      <c r="H72" s="197"/>
      <c r="I72" s="197"/>
      <c r="J72" s="152">
        <f t="shared" si="4"/>
        <v>1435800</v>
      </c>
    </row>
    <row r="73" spans="1:10" s="193" customFormat="1" ht="30">
      <c r="A73" s="188"/>
      <c r="B73" s="165">
        <v>85214</v>
      </c>
      <c r="C73" s="199" t="s">
        <v>115</v>
      </c>
      <c r="D73" s="166">
        <f>D74</f>
        <v>6500000</v>
      </c>
      <c r="E73" s="166">
        <f>E74</f>
        <v>-300000</v>
      </c>
      <c r="F73" s="166">
        <f t="shared" si="5"/>
        <v>6200000</v>
      </c>
      <c r="G73" s="166">
        <v>6200000</v>
      </c>
      <c r="H73" s="166"/>
      <c r="I73" s="166"/>
      <c r="J73" s="152">
        <f t="shared" si="4"/>
        <v>6200000</v>
      </c>
    </row>
    <row r="74" spans="1:10" s="153" customFormat="1" ht="18.75" customHeight="1">
      <c r="A74" s="164"/>
      <c r="B74" s="168"/>
      <c r="C74" s="168" t="s">
        <v>116</v>
      </c>
      <c r="D74" s="169">
        <v>6500000</v>
      </c>
      <c r="E74" s="169">
        <v>-300000</v>
      </c>
      <c r="F74" s="169">
        <f t="shared" si="5"/>
        <v>6200000</v>
      </c>
      <c r="G74" s="169">
        <v>6200000</v>
      </c>
      <c r="H74" s="169"/>
      <c r="I74" s="169"/>
      <c r="J74" s="152">
        <f t="shared" si="4"/>
        <v>6200000</v>
      </c>
    </row>
    <row r="75" spans="1:10" s="153" customFormat="1" ht="19.5" customHeight="1">
      <c r="A75" s="164"/>
      <c r="B75" s="165">
        <v>85219</v>
      </c>
      <c r="C75" s="165" t="s">
        <v>117</v>
      </c>
      <c r="D75" s="166">
        <v>7130000</v>
      </c>
      <c r="E75" s="166">
        <f>E76+E78</f>
        <v>63000</v>
      </c>
      <c r="F75" s="166">
        <f t="shared" si="5"/>
        <v>7193000</v>
      </c>
      <c r="G75" s="166">
        <f>7130000+63000-4000</f>
        <v>7189000</v>
      </c>
      <c r="H75" s="166">
        <f>H76</f>
        <v>73000</v>
      </c>
      <c r="I75" s="166">
        <f>I78</f>
        <v>4000</v>
      </c>
      <c r="J75" s="152">
        <f>I75+G75</f>
        <v>7193000</v>
      </c>
    </row>
    <row r="76" spans="1:10" s="153" customFormat="1" ht="18.75" customHeight="1">
      <c r="A76" s="164"/>
      <c r="B76" s="164"/>
      <c r="C76" s="170" t="s">
        <v>96</v>
      </c>
      <c r="D76" s="171">
        <v>952000</v>
      </c>
      <c r="E76" s="171">
        <f>63000-4000</f>
        <v>59000</v>
      </c>
      <c r="F76" s="171">
        <f t="shared" si="5"/>
        <v>1011000</v>
      </c>
      <c r="G76" s="171">
        <v>1011000</v>
      </c>
      <c r="H76" s="171">
        <v>73000</v>
      </c>
      <c r="I76" s="171"/>
      <c r="J76" s="152">
        <f>I76+G76</f>
        <v>1011000</v>
      </c>
    </row>
    <row r="77" spans="1:10" s="153" customFormat="1" ht="18.75" customHeight="1">
      <c r="A77" s="164"/>
      <c r="B77" s="164"/>
      <c r="C77" s="189" t="s">
        <v>118</v>
      </c>
      <c r="D77" s="190">
        <v>35000</v>
      </c>
      <c r="E77" s="190">
        <v>38000</v>
      </c>
      <c r="F77" s="190">
        <f t="shared" si="5"/>
        <v>73000</v>
      </c>
      <c r="G77" s="190">
        <v>73000</v>
      </c>
      <c r="H77" s="190">
        <v>73000</v>
      </c>
      <c r="I77" s="190"/>
      <c r="J77" s="152">
        <f>I77+G77</f>
        <v>73000</v>
      </c>
    </row>
    <row r="78" spans="1:10" s="153" customFormat="1" ht="18.75" customHeight="1">
      <c r="A78" s="164"/>
      <c r="B78" s="172"/>
      <c r="C78" s="172" t="s">
        <v>74</v>
      </c>
      <c r="D78" s="180"/>
      <c r="E78" s="173">
        <v>4000</v>
      </c>
      <c r="F78" s="173">
        <f t="shared" si="5"/>
        <v>4000</v>
      </c>
      <c r="G78" s="180"/>
      <c r="H78" s="180"/>
      <c r="I78" s="173">
        <v>4000</v>
      </c>
      <c r="J78" s="152"/>
    </row>
    <row r="79" spans="1:10" s="193" customFormat="1" ht="19.5" customHeight="1">
      <c r="A79" s="188"/>
      <c r="B79" s="165">
        <v>85295</v>
      </c>
      <c r="C79" s="165" t="s">
        <v>88</v>
      </c>
      <c r="D79" s="166">
        <v>530000</v>
      </c>
      <c r="E79" s="166">
        <f>E80+E81</f>
        <v>300000</v>
      </c>
      <c r="F79" s="166">
        <f t="shared" si="5"/>
        <v>830000</v>
      </c>
      <c r="G79" s="166">
        <f>530000+E80+E81</f>
        <v>830000</v>
      </c>
      <c r="H79" s="166"/>
      <c r="I79" s="166"/>
      <c r="J79" s="152">
        <f aca="true" t="shared" si="6" ref="J79:J95">I79+G79</f>
        <v>830000</v>
      </c>
    </row>
    <row r="80" spans="1:10" s="153" customFormat="1" ht="27.75" customHeight="1">
      <c r="A80" s="164"/>
      <c r="B80" s="164"/>
      <c r="C80" s="200" t="s">
        <v>119</v>
      </c>
      <c r="D80" s="195">
        <v>180000</v>
      </c>
      <c r="E80" s="195">
        <v>550000</v>
      </c>
      <c r="F80" s="195">
        <f t="shared" si="5"/>
        <v>730000</v>
      </c>
      <c r="G80" s="195">
        <v>730000</v>
      </c>
      <c r="H80" s="195"/>
      <c r="I80" s="195"/>
      <c r="J80" s="152">
        <f t="shared" si="6"/>
        <v>730000</v>
      </c>
    </row>
    <row r="81" spans="1:10" s="153" customFormat="1" ht="18.75" customHeight="1">
      <c r="A81" s="172"/>
      <c r="B81" s="172"/>
      <c r="C81" s="196" t="s">
        <v>120</v>
      </c>
      <c r="D81" s="197">
        <v>250000</v>
      </c>
      <c r="E81" s="197">
        <v>-250000</v>
      </c>
      <c r="F81" s="197">
        <f t="shared" si="5"/>
        <v>0</v>
      </c>
      <c r="G81" s="197">
        <v>0</v>
      </c>
      <c r="H81" s="197"/>
      <c r="I81" s="197"/>
      <c r="J81" s="152">
        <f t="shared" si="6"/>
        <v>0</v>
      </c>
    </row>
    <row r="82" spans="1:10" s="153" customFormat="1" ht="19.5" customHeight="1">
      <c r="A82" s="174">
        <v>854</v>
      </c>
      <c r="B82" s="174"/>
      <c r="C82" s="174" t="s">
        <v>121</v>
      </c>
      <c r="D82" s="175">
        <v>33399000</v>
      </c>
      <c r="E82" s="175">
        <f>E83+E85</f>
        <v>62000</v>
      </c>
      <c r="F82" s="175">
        <f t="shared" si="5"/>
        <v>33461000</v>
      </c>
      <c r="G82" s="175">
        <f>33399000+E83+E85</f>
        <v>33461000</v>
      </c>
      <c r="H82" s="175"/>
      <c r="I82" s="175"/>
      <c r="J82" s="152">
        <f t="shared" si="6"/>
        <v>33461000</v>
      </c>
    </row>
    <row r="83" spans="1:10" s="153" customFormat="1" ht="19.5" customHeight="1">
      <c r="A83" s="164"/>
      <c r="B83" s="165">
        <v>85403</v>
      </c>
      <c r="C83" s="165" t="s">
        <v>122</v>
      </c>
      <c r="D83" s="166">
        <v>7570000</v>
      </c>
      <c r="E83" s="166">
        <f>E84</f>
        <v>48000</v>
      </c>
      <c r="F83" s="166">
        <f t="shared" si="5"/>
        <v>7618000</v>
      </c>
      <c r="G83" s="166">
        <f>7570000+E84</f>
        <v>7618000</v>
      </c>
      <c r="H83" s="166"/>
      <c r="I83" s="166"/>
      <c r="J83" s="152">
        <f t="shared" si="6"/>
        <v>7618000</v>
      </c>
    </row>
    <row r="84" spans="1:10" s="153" customFormat="1" ht="18.75" customHeight="1">
      <c r="A84" s="164"/>
      <c r="B84" s="172"/>
      <c r="C84" s="196" t="s">
        <v>123</v>
      </c>
      <c r="D84" s="197">
        <v>580000</v>
      </c>
      <c r="E84" s="197">
        <v>48000</v>
      </c>
      <c r="F84" s="197">
        <f t="shared" si="5"/>
        <v>628000</v>
      </c>
      <c r="G84" s="197">
        <v>628000</v>
      </c>
      <c r="H84" s="197"/>
      <c r="I84" s="197"/>
      <c r="J84" s="152">
        <f t="shared" si="6"/>
        <v>628000</v>
      </c>
    </row>
    <row r="85" spans="1:10" s="193" customFormat="1" ht="19.5" customHeight="1">
      <c r="A85" s="188"/>
      <c r="B85" s="165">
        <v>85410</v>
      </c>
      <c r="C85" s="165" t="s">
        <v>124</v>
      </c>
      <c r="D85" s="166">
        <v>6614000</v>
      </c>
      <c r="E85" s="166">
        <f>E86</f>
        <v>14000</v>
      </c>
      <c r="F85" s="166">
        <f t="shared" si="5"/>
        <v>6628000</v>
      </c>
      <c r="G85" s="166">
        <f>6614000+E86</f>
        <v>6628000</v>
      </c>
      <c r="H85" s="166"/>
      <c r="I85" s="166"/>
      <c r="J85" s="152">
        <f t="shared" si="6"/>
        <v>6628000</v>
      </c>
    </row>
    <row r="86" spans="1:10" s="153" customFormat="1" ht="19.5" customHeight="1">
      <c r="A86" s="172"/>
      <c r="B86" s="172"/>
      <c r="C86" s="198" t="s">
        <v>125</v>
      </c>
      <c r="D86" s="197">
        <v>550000</v>
      </c>
      <c r="E86" s="197">
        <v>14000</v>
      </c>
      <c r="F86" s="197">
        <f t="shared" si="5"/>
        <v>564000</v>
      </c>
      <c r="G86" s="197">
        <v>564000</v>
      </c>
      <c r="H86" s="197"/>
      <c r="I86" s="197"/>
      <c r="J86" s="152">
        <f t="shared" si="6"/>
        <v>564000</v>
      </c>
    </row>
    <row r="87" spans="1:10" s="153" customFormat="1" ht="19.5" customHeight="1">
      <c r="A87" s="174">
        <v>900</v>
      </c>
      <c r="B87" s="174"/>
      <c r="C87" s="174" t="s">
        <v>126</v>
      </c>
      <c r="D87" s="175">
        <v>34028000</v>
      </c>
      <c r="E87" s="175">
        <f>E88+E90</f>
        <v>3160000</v>
      </c>
      <c r="F87" s="175">
        <f t="shared" si="5"/>
        <v>37188000</v>
      </c>
      <c r="G87" s="175">
        <f>26846000</f>
        <v>26846000</v>
      </c>
      <c r="H87" s="175">
        <v>50000</v>
      </c>
      <c r="I87" s="175">
        <f>7182000+120000+3040000</f>
        <v>10342000</v>
      </c>
      <c r="J87" s="152">
        <f t="shared" si="6"/>
        <v>37188000</v>
      </c>
    </row>
    <row r="88" spans="1:10" s="193" customFormat="1" ht="19.5" customHeight="1">
      <c r="A88" s="188"/>
      <c r="B88" s="165">
        <v>90015</v>
      </c>
      <c r="C88" s="165" t="s">
        <v>127</v>
      </c>
      <c r="D88" s="166">
        <v>8350000</v>
      </c>
      <c r="E88" s="166">
        <f>E89</f>
        <v>120000</v>
      </c>
      <c r="F88" s="166">
        <f t="shared" si="5"/>
        <v>8470000</v>
      </c>
      <c r="G88" s="166">
        <f>8350000</f>
        <v>8350000</v>
      </c>
      <c r="H88" s="166">
        <f>50000</f>
        <v>50000</v>
      </c>
      <c r="I88" s="166">
        <v>120000</v>
      </c>
      <c r="J88" s="152">
        <f t="shared" si="6"/>
        <v>8470000</v>
      </c>
    </row>
    <row r="89" spans="1:10" s="153" customFormat="1" ht="19.5" customHeight="1">
      <c r="A89" s="164"/>
      <c r="B89" s="168"/>
      <c r="C89" s="168" t="s">
        <v>74</v>
      </c>
      <c r="D89" s="169"/>
      <c r="E89" s="169">
        <v>120000</v>
      </c>
      <c r="F89" s="169">
        <f t="shared" si="5"/>
        <v>120000</v>
      </c>
      <c r="G89" s="169"/>
      <c r="H89" s="169"/>
      <c r="I89" s="169">
        <v>120000</v>
      </c>
      <c r="J89" s="152">
        <f t="shared" si="6"/>
        <v>120000</v>
      </c>
    </row>
    <row r="90" spans="1:10" s="153" customFormat="1" ht="19.5" customHeight="1">
      <c r="A90" s="164"/>
      <c r="B90" s="165">
        <v>90095</v>
      </c>
      <c r="C90" s="165" t="s">
        <v>88</v>
      </c>
      <c r="D90" s="166">
        <v>5570000</v>
      </c>
      <c r="E90" s="166">
        <f>E91</f>
        <v>3040000</v>
      </c>
      <c r="F90" s="166">
        <f t="shared" si="5"/>
        <v>8610000</v>
      </c>
      <c r="G90" s="166">
        <f>70000</f>
        <v>70000</v>
      </c>
      <c r="H90" s="166"/>
      <c r="I90" s="166">
        <f>5500000+E91</f>
        <v>8540000</v>
      </c>
      <c r="J90" s="152">
        <f t="shared" si="6"/>
        <v>8610000</v>
      </c>
    </row>
    <row r="91" spans="1:10" s="153" customFormat="1" ht="19.5" customHeight="1">
      <c r="A91" s="172"/>
      <c r="B91" s="172"/>
      <c r="C91" s="172" t="s">
        <v>74</v>
      </c>
      <c r="D91" s="173">
        <v>5500000</v>
      </c>
      <c r="E91" s="173">
        <f>3040000</f>
        <v>3040000</v>
      </c>
      <c r="F91" s="173">
        <f t="shared" si="5"/>
        <v>8540000</v>
      </c>
      <c r="G91" s="173"/>
      <c r="H91" s="173"/>
      <c r="I91" s="173">
        <v>8540000</v>
      </c>
      <c r="J91" s="152">
        <f t="shared" si="6"/>
        <v>8540000</v>
      </c>
    </row>
    <row r="92" spans="1:10" s="153" customFormat="1" ht="19.5" customHeight="1">
      <c r="A92" s="174">
        <v>921</v>
      </c>
      <c r="B92" s="174"/>
      <c r="C92" s="174" t="s">
        <v>51</v>
      </c>
      <c r="D92" s="175">
        <v>11955000</v>
      </c>
      <c r="E92" s="175">
        <f>E93+E98+E100</f>
        <v>250000</v>
      </c>
      <c r="F92" s="175">
        <f t="shared" si="5"/>
        <v>12205000</v>
      </c>
      <c r="G92" s="175">
        <f>11290000+30000+20000+50000+160000+20000</f>
        <v>11570000</v>
      </c>
      <c r="H92" s="175">
        <f>830000</f>
        <v>830000</v>
      </c>
      <c r="I92" s="175">
        <f>665000-30000</f>
        <v>635000</v>
      </c>
      <c r="J92" s="152">
        <f t="shared" si="6"/>
        <v>12205000</v>
      </c>
    </row>
    <row r="93" spans="1:10" s="204" customFormat="1" ht="19.5" customHeight="1">
      <c r="A93" s="201"/>
      <c r="B93" s="202">
        <v>92105</v>
      </c>
      <c r="C93" s="202" t="s">
        <v>128</v>
      </c>
      <c r="D93" s="203">
        <v>790000</v>
      </c>
      <c r="E93" s="203">
        <f>E94</f>
        <v>20000</v>
      </c>
      <c r="F93" s="203">
        <f t="shared" si="5"/>
        <v>810000</v>
      </c>
      <c r="G93" s="203">
        <f>760000+30000+20000</f>
        <v>810000</v>
      </c>
      <c r="H93" s="203"/>
      <c r="I93" s="203"/>
      <c r="J93" s="152">
        <f t="shared" si="6"/>
        <v>810000</v>
      </c>
    </row>
    <row r="94" spans="1:10" s="208" customFormat="1" ht="19.5" customHeight="1">
      <c r="A94" s="201"/>
      <c r="B94" s="205"/>
      <c r="C94" s="206" t="s">
        <v>129</v>
      </c>
      <c r="D94" s="207">
        <f>750000-20000</f>
        <v>730000</v>
      </c>
      <c r="E94" s="207">
        <f>20000</f>
        <v>20000</v>
      </c>
      <c r="F94" s="207">
        <f t="shared" si="5"/>
        <v>750000</v>
      </c>
      <c r="G94" s="207">
        <v>750000</v>
      </c>
      <c r="H94" s="207"/>
      <c r="I94" s="207"/>
      <c r="J94" s="152">
        <f t="shared" si="6"/>
        <v>750000</v>
      </c>
    </row>
    <row r="95" spans="1:10" s="208" customFormat="1" ht="19.5" customHeight="1">
      <c r="A95" s="202"/>
      <c r="B95" s="202"/>
      <c r="C95" s="209" t="s">
        <v>130</v>
      </c>
      <c r="D95" s="210"/>
      <c r="E95" s="210"/>
      <c r="F95" s="210"/>
      <c r="G95" s="210"/>
      <c r="H95" s="210"/>
      <c r="I95" s="210"/>
      <c r="J95" s="152">
        <f t="shared" si="6"/>
        <v>0</v>
      </c>
    </row>
    <row r="96" ht="19.5" customHeight="1"/>
    <row r="97" ht="19.5" customHeight="1"/>
    <row r="98" spans="1:10" s="193" customFormat="1" ht="19.5" customHeight="1">
      <c r="A98" s="188"/>
      <c r="B98" s="165">
        <v>92106</v>
      </c>
      <c r="C98" s="165" t="s">
        <v>52</v>
      </c>
      <c r="D98" s="166">
        <v>1750000</v>
      </c>
      <c r="E98" s="166">
        <f>E99</f>
        <v>70000</v>
      </c>
      <c r="F98" s="166">
        <f aca="true" t="shared" si="7" ref="F98:F109">E98+D98</f>
        <v>1820000</v>
      </c>
      <c r="G98" s="166">
        <f>1800000+20000</f>
        <v>1820000</v>
      </c>
      <c r="H98" s="166"/>
      <c r="I98" s="166"/>
      <c r="J98" s="152">
        <f aca="true" t="shared" si="8" ref="J98:J109">I98+G98</f>
        <v>1820000</v>
      </c>
    </row>
    <row r="99" spans="1:10" s="153" customFormat="1" ht="19.5" customHeight="1">
      <c r="A99" s="164"/>
      <c r="B99" s="168"/>
      <c r="C99" s="168" t="s">
        <v>131</v>
      </c>
      <c r="D99" s="169">
        <v>1750000</v>
      </c>
      <c r="E99" s="169">
        <f>50000+20000</f>
        <v>70000</v>
      </c>
      <c r="F99" s="169">
        <f t="shared" si="7"/>
        <v>1820000</v>
      </c>
      <c r="G99" s="169">
        <v>1820000</v>
      </c>
      <c r="H99" s="169"/>
      <c r="I99" s="169"/>
      <c r="J99" s="152">
        <f t="shared" si="8"/>
        <v>1820000</v>
      </c>
    </row>
    <row r="100" spans="1:10" s="193" customFormat="1" ht="19.5" customHeight="1">
      <c r="A100" s="188"/>
      <c r="B100" s="165">
        <v>92113</v>
      </c>
      <c r="C100" s="165" t="s">
        <v>132</v>
      </c>
      <c r="D100" s="166">
        <v>1840000</v>
      </c>
      <c r="E100" s="166">
        <f>E101</f>
        <v>160000</v>
      </c>
      <c r="F100" s="166">
        <f t="shared" si="7"/>
        <v>2000000</v>
      </c>
      <c r="G100" s="166">
        <f>1340000+160000</f>
        <v>1500000</v>
      </c>
      <c r="H100" s="166"/>
      <c r="I100" s="166">
        <v>500000</v>
      </c>
      <c r="J100" s="152">
        <f t="shared" si="8"/>
        <v>2000000</v>
      </c>
    </row>
    <row r="101" spans="1:10" s="153" customFormat="1" ht="19.5" customHeight="1">
      <c r="A101" s="172"/>
      <c r="B101" s="172"/>
      <c r="C101" s="185" t="s">
        <v>133</v>
      </c>
      <c r="D101" s="169">
        <f>1320000+20000</f>
        <v>1340000</v>
      </c>
      <c r="E101" s="169">
        <v>160000</v>
      </c>
      <c r="F101" s="169">
        <f t="shared" si="7"/>
        <v>1500000</v>
      </c>
      <c r="G101" s="169">
        <v>1500000</v>
      </c>
      <c r="H101" s="169"/>
      <c r="I101" s="169"/>
      <c r="J101" s="152">
        <f t="shared" si="8"/>
        <v>1500000</v>
      </c>
    </row>
    <row r="102" spans="1:10" s="153" customFormat="1" ht="19.5" customHeight="1">
      <c r="A102" s="174">
        <v>926</v>
      </c>
      <c r="B102" s="174"/>
      <c r="C102" s="174" t="s">
        <v>37</v>
      </c>
      <c r="D102" s="175">
        <v>8071000</v>
      </c>
      <c r="E102" s="175">
        <f>E103+E105</f>
        <v>785000</v>
      </c>
      <c r="F102" s="175">
        <f t="shared" si="7"/>
        <v>8856000</v>
      </c>
      <c r="G102" s="175">
        <f>2701000+200000</f>
        <v>2901000</v>
      </c>
      <c r="H102" s="175"/>
      <c r="I102" s="175">
        <f>5370000+E103</f>
        <v>5955000</v>
      </c>
      <c r="J102" s="152">
        <f t="shared" si="8"/>
        <v>8856000</v>
      </c>
    </row>
    <row r="103" spans="1:10" s="193" customFormat="1" ht="21" customHeight="1">
      <c r="A103" s="188"/>
      <c r="B103" s="165">
        <v>92604</v>
      </c>
      <c r="C103" s="165" t="s">
        <v>134</v>
      </c>
      <c r="D103" s="166">
        <v>6350000</v>
      </c>
      <c r="E103" s="166">
        <f>E104</f>
        <v>585000</v>
      </c>
      <c r="F103" s="166">
        <f t="shared" si="7"/>
        <v>6935000</v>
      </c>
      <c r="G103" s="166">
        <f>1250000</f>
        <v>1250000</v>
      </c>
      <c r="H103" s="166"/>
      <c r="I103" s="166">
        <f>5100000+E104</f>
        <v>5685000</v>
      </c>
      <c r="J103" s="152">
        <f t="shared" si="8"/>
        <v>6935000</v>
      </c>
    </row>
    <row r="104" spans="1:10" s="153" customFormat="1" ht="21" customHeight="1">
      <c r="A104" s="164"/>
      <c r="B104" s="168"/>
      <c r="C104" s="168" t="s">
        <v>135</v>
      </c>
      <c r="D104" s="169">
        <v>6350000</v>
      </c>
      <c r="E104" s="169">
        <f>480000+105000</f>
        <v>585000</v>
      </c>
      <c r="F104" s="169">
        <f t="shared" si="7"/>
        <v>6935000</v>
      </c>
      <c r="G104" s="169">
        <v>1250000</v>
      </c>
      <c r="H104" s="169"/>
      <c r="I104" s="169">
        <f>5100000+585000</f>
        <v>5685000</v>
      </c>
      <c r="J104" s="152">
        <f t="shared" si="8"/>
        <v>6935000</v>
      </c>
    </row>
    <row r="105" spans="1:10" s="193" customFormat="1" ht="19.5" customHeight="1">
      <c r="A105" s="188"/>
      <c r="B105" s="165">
        <v>92605</v>
      </c>
      <c r="C105" s="165" t="s">
        <v>136</v>
      </c>
      <c r="D105" s="166">
        <v>1395000</v>
      </c>
      <c r="E105" s="166">
        <f>E106+E107</f>
        <v>200000</v>
      </c>
      <c r="F105" s="166">
        <f t="shared" si="7"/>
        <v>1595000</v>
      </c>
      <c r="G105" s="166">
        <f>1245000+E106+E107</f>
        <v>1445000</v>
      </c>
      <c r="H105" s="166"/>
      <c r="I105" s="166">
        <v>150000</v>
      </c>
      <c r="J105" s="152">
        <f t="shared" si="8"/>
        <v>1595000</v>
      </c>
    </row>
    <row r="106" spans="1:10" s="153" customFormat="1" ht="19.5" customHeight="1">
      <c r="A106" s="164"/>
      <c r="B106" s="164"/>
      <c r="C106" s="170" t="s">
        <v>137</v>
      </c>
      <c r="D106" s="171">
        <v>700000</v>
      </c>
      <c r="E106" s="171">
        <v>100000</v>
      </c>
      <c r="F106" s="171">
        <f t="shared" si="7"/>
        <v>800000</v>
      </c>
      <c r="G106" s="171">
        <v>800000</v>
      </c>
      <c r="H106" s="171"/>
      <c r="I106" s="171"/>
      <c r="J106" s="152">
        <f t="shared" si="8"/>
        <v>800000</v>
      </c>
    </row>
    <row r="107" spans="1:10" s="153" customFormat="1" ht="19.5" customHeight="1">
      <c r="A107" s="164"/>
      <c r="B107" s="164"/>
      <c r="C107" s="198" t="s">
        <v>138</v>
      </c>
      <c r="D107" s="197">
        <v>500000</v>
      </c>
      <c r="E107" s="197">
        <v>100000</v>
      </c>
      <c r="F107" s="197">
        <f t="shared" si="7"/>
        <v>600000</v>
      </c>
      <c r="G107" s="197">
        <v>600000</v>
      </c>
      <c r="H107" s="197"/>
      <c r="I107" s="197"/>
      <c r="J107" s="152">
        <f t="shared" si="8"/>
        <v>600000</v>
      </c>
    </row>
    <row r="108" spans="1:10" ht="30.75" thickBot="1">
      <c r="A108" s="164"/>
      <c r="B108" s="164"/>
      <c r="C108" s="211" t="s">
        <v>139</v>
      </c>
      <c r="D108" s="212">
        <v>26000</v>
      </c>
      <c r="E108" s="212"/>
      <c r="F108" s="212">
        <f t="shared" si="7"/>
        <v>26000</v>
      </c>
      <c r="G108" s="212">
        <v>26000</v>
      </c>
      <c r="H108" s="212"/>
      <c r="I108" s="212"/>
      <c r="J108" s="152">
        <f t="shared" si="8"/>
        <v>26000</v>
      </c>
    </row>
    <row r="109" spans="1:10" ht="20.25" customHeight="1" thickBot="1" thickTop="1">
      <c r="A109" s="213"/>
      <c r="B109" s="213"/>
      <c r="C109" s="214" t="s">
        <v>140</v>
      </c>
      <c r="D109" s="212">
        <v>45426861</v>
      </c>
      <c r="E109" s="212"/>
      <c r="F109" s="212">
        <f t="shared" si="7"/>
        <v>45426861</v>
      </c>
      <c r="G109" s="212">
        <f>45410861</f>
        <v>45410861</v>
      </c>
      <c r="H109" s="212">
        <v>170000</v>
      </c>
      <c r="I109" s="212">
        <v>16000</v>
      </c>
      <c r="J109" s="152">
        <f t="shared" si="8"/>
        <v>45426861</v>
      </c>
    </row>
    <row r="110" ht="48.75" customHeight="1" thickTop="1"/>
    <row r="111" ht="19.5" customHeight="1">
      <c r="G111" s="2" t="s">
        <v>347</v>
      </c>
    </row>
    <row r="112" ht="19.5" customHeight="1">
      <c r="G112" s="4" t="s">
        <v>346</v>
      </c>
    </row>
    <row r="113" ht="19.5" customHeight="1">
      <c r="G113" s="4" t="s">
        <v>348</v>
      </c>
    </row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106.5" customHeight="1"/>
    <row r="129" ht="77.25" customHeight="1"/>
    <row r="130" ht="30" customHeight="1"/>
    <row r="131" ht="28.5" customHeight="1"/>
    <row r="132" ht="30" customHeight="1"/>
    <row r="133" ht="21.75" customHeight="1"/>
    <row r="134" ht="30" customHeight="1"/>
    <row r="135" ht="30" customHeight="1"/>
    <row r="136" ht="27.75" customHeight="1"/>
    <row r="137" ht="33" customHeight="1"/>
    <row r="138" ht="32.25" customHeight="1"/>
    <row r="139" ht="21" customHeight="1"/>
    <row r="140" ht="30" customHeight="1"/>
    <row r="141" ht="24" customHeight="1"/>
    <row r="142" ht="24.75" customHeight="1"/>
    <row r="143" ht="24.75" customHeight="1"/>
    <row r="144" ht="26.25" customHeight="1"/>
    <row r="145" ht="24" customHeight="1"/>
    <row r="146" ht="24" customHeight="1"/>
    <row r="147" ht="24.75" customHeight="1"/>
    <row r="148" ht="33.75" customHeight="1"/>
    <row r="149" ht="33.75" customHeight="1"/>
    <row r="150" ht="39.75" customHeight="1"/>
    <row r="151" spans="1:6" s="215" customFormat="1" ht="21.75" customHeight="1">
      <c r="A151" s="122"/>
      <c r="B151" s="122"/>
      <c r="C151" s="122"/>
      <c r="D151" s="123"/>
      <c r="E151" s="123"/>
      <c r="F151" s="123"/>
    </row>
    <row r="152" ht="24.75" customHeight="1"/>
    <row r="153" ht="49.5" customHeight="1"/>
    <row r="154" ht="30.75" customHeight="1"/>
    <row r="155" ht="27.75" customHeight="1"/>
  </sheetData>
  <printOptions horizontalCentered="1"/>
  <pageMargins left="0.49" right="0.38" top="0.6692913385826772" bottom="0.6692913385826772" header="0.5118110236220472" footer="0.5118110236220472"/>
  <pageSetup firstPageNumber="6" useFirstPageNumber="1" horizontalDpi="300" verticalDpi="300" orientation="landscape" paperSize="9" scale="75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 topLeftCell="A1">
      <selection activeCell="E21" sqref="E21:E23"/>
    </sheetView>
  </sheetViews>
  <sheetFormatPr defaultColWidth="9.00390625" defaultRowHeight="12.75"/>
  <cols>
    <col min="1" max="1" width="9.125" style="153" customWidth="1"/>
    <col min="2" max="2" width="50.75390625" style="153" customWidth="1"/>
    <col min="3" max="3" width="24.00390625" style="153" customWidth="1"/>
    <col min="4" max="4" width="15.875" style="153" customWidth="1"/>
    <col min="5" max="5" width="24.00390625" style="153" customWidth="1"/>
    <col min="6" max="6" width="23.25390625" style="153" customWidth="1"/>
    <col min="7" max="7" width="11.625" style="153" bestFit="1" customWidth="1"/>
    <col min="8" max="8" width="12.125" style="153" bestFit="1" customWidth="1"/>
    <col min="9" max="10" width="9.125" style="153" customWidth="1"/>
    <col min="11" max="11" width="17.625" style="153" customWidth="1"/>
    <col min="12" max="16384" width="9.125" style="153" customWidth="1"/>
  </cols>
  <sheetData>
    <row r="1" spans="2:6" ht="14.25">
      <c r="B1" s="216"/>
      <c r="C1" s="217"/>
      <c r="D1" s="217"/>
      <c r="E1" s="217"/>
      <c r="F1" s="217" t="s">
        <v>141</v>
      </c>
    </row>
    <row r="2" spans="2:6" ht="18" customHeight="1">
      <c r="B2" s="218" t="s">
        <v>142</v>
      </c>
      <c r="C2" s="217"/>
      <c r="D2" s="217"/>
      <c r="E2" s="217"/>
      <c r="F2" s="217" t="s">
        <v>56</v>
      </c>
    </row>
    <row r="3" spans="2:6" ht="18" customHeight="1">
      <c r="B3" s="218" t="s">
        <v>143</v>
      </c>
      <c r="C3" s="217"/>
      <c r="D3" s="217"/>
      <c r="E3" s="217"/>
      <c r="F3" s="217"/>
    </row>
    <row r="4" spans="1:6" ht="13.5" thickBot="1">
      <c r="A4" s="219"/>
      <c r="B4" s="167"/>
      <c r="C4" s="167"/>
      <c r="D4" s="167"/>
      <c r="E4" s="167"/>
      <c r="F4" s="220" t="s">
        <v>4</v>
      </c>
    </row>
    <row r="5" spans="1:6" ht="54.75" customHeight="1" thickBot="1" thickTop="1">
      <c r="A5" s="221" t="s">
        <v>144</v>
      </c>
      <c r="B5" s="222" t="s">
        <v>59</v>
      </c>
      <c r="C5" s="14" t="s">
        <v>145</v>
      </c>
      <c r="D5" s="223" t="s">
        <v>7</v>
      </c>
      <c r="E5" s="14" t="s">
        <v>146</v>
      </c>
      <c r="F5" s="14" t="s">
        <v>147</v>
      </c>
    </row>
    <row r="6" spans="1:6" ht="14.25" thickBot="1" thickTop="1">
      <c r="A6" s="224">
        <v>1</v>
      </c>
      <c r="B6" s="225">
        <v>2</v>
      </c>
      <c r="C6" s="226">
        <v>3</v>
      </c>
      <c r="D6" s="226">
        <v>4</v>
      </c>
      <c r="E6" s="226">
        <v>5</v>
      </c>
      <c r="F6" s="226">
        <v>6</v>
      </c>
    </row>
    <row r="7" spans="1:7" ht="21.75" customHeight="1" thickTop="1">
      <c r="A7" s="227"/>
      <c r="B7" s="228" t="s">
        <v>148</v>
      </c>
      <c r="C7" s="229">
        <v>29506000</v>
      </c>
      <c r="D7" s="229">
        <f>D8</f>
        <v>3000000</v>
      </c>
      <c r="E7" s="229">
        <f>D7+C7</f>
        <v>32506000</v>
      </c>
      <c r="F7" s="230">
        <v>14950000</v>
      </c>
      <c r="G7" s="152"/>
    </row>
    <row r="8" spans="1:6" s="231" customFormat="1" ht="30">
      <c r="A8" s="176">
        <v>952</v>
      </c>
      <c r="B8" s="199" t="s">
        <v>149</v>
      </c>
      <c r="C8" s="166">
        <f>C9</f>
        <v>26006000</v>
      </c>
      <c r="D8" s="166">
        <f>D9</f>
        <v>3000000</v>
      </c>
      <c r="E8" s="166">
        <f>D8+C8</f>
        <v>29006000</v>
      </c>
      <c r="F8" s="166"/>
    </row>
    <row r="9" spans="1:6" s="231" customFormat="1" ht="19.5" customHeight="1">
      <c r="A9" s="168"/>
      <c r="B9" s="172" t="s">
        <v>150</v>
      </c>
      <c r="C9" s="173">
        <f>15006000+11000000</f>
        <v>26006000</v>
      </c>
      <c r="D9" s="173">
        <v>3000000</v>
      </c>
      <c r="E9" s="173">
        <f>D9+C9</f>
        <v>29006000</v>
      </c>
      <c r="F9" s="166"/>
    </row>
    <row r="10" spans="1:6" ht="18" customHeight="1">
      <c r="A10" s="232"/>
      <c r="B10" s="232"/>
      <c r="C10" s="232"/>
      <c r="D10" s="232"/>
      <c r="E10" s="232"/>
      <c r="F10" s="232"/>
    </row>
    <row r="11" spans="1:7" ht="15.75" customHeight="1">
      <c r="A11" s="167"/>
      <c r="B11" s="233" t="s">
        <v>151</v>
      </c>
      <c r="C11" s="167"/>
      <c r="D11" s="167"/>
      <c r="E11" s="167"/>
      <c r="F11" s="234"/>
      <c r="G11" s="167"/>
    </row>
    <row r="12" spans="1:6" ht="18.75" customHeight="1">
      <c r="A12"/>
      <c r="B12" s="235" t="s">
        <v>152</v>
      </c>
      <c r="C12"/>
      <c r="D12"/>
      <c r="E12"/>
      <c r="F12" s="236"/>
    </row>
    <row r="13" ht="12.75">
      <c r="B13" s="153" t="s">
        <v>153</v>
      </c>
    </row>
    <row r="14" ht="18.75" customHeight="1">
      <c r="B14" s="153" t="s">
        <v>154</v>
      </c>
    </row>
    <row r="15" ht="12.75">
      <c r="B15" s="153" t="s">
        <v>155</v>
      </c>
    </row>
    <row r="16" ht="12.75">
      <c r="B16" s="153" t="s">
        <v>156</v>
      </c>
    </row>
    <row r="17" ht="12.75">
      <c r="B17" s="153" t="s">
        <v>157</v>
      </c>
    </row>
    <row r="18" ht="12.75">
      <c r="B18" s="153" t="s">
        <v>158</v>
      </c>
    </row>
    <row r="19" ht="12.75">
      <c r="B19" s="153" t="s">
        <v>159</v>
      </c>
    </row>
    <row r="21" ht="12.75">
      <c r="E21" s="2" t="s">
        <v>347</v>
      </c>
    </row>
    <row r="22" ht="12.75">
      <c r="E22" s="4" t="s">
        <v>346</v>
      </c>
    </row>
    <row r="23" ht="12.75">
      <c r="E23" s="4" t="s">
        <v>348</v>
      </c>
    </row>
  </sheetData>
  <printOptions horizontalCentered="1"/>
  <pageMargins left="0.5905511811023623" right="0.5905511811023623" top="0.7086614173228347" bottom="0.6692913385826772" header="0.5118110236220472" footer="0.5118110236220472"/>
  <pageSetup firstPageNumber="10" useFirstPageNumber="1"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="75" zoomScaleNormal="75" zoomScaleSheetLayoutView="75" workbookViewId="0" topLeftCell="A1">
      <selection activeCell="N68" sqref="N68:N70"/>
    </sheetView>
  </sheetViews>
  <sheetFormatPr defaultColWidth="9.00390625" defaultRowHeight="12.75"/>
  <cols>
    <col min="1" max="1" width="6.625" style="237" customWidth="1"/>
    <col min="2" max="2" width="8.75390625" style="237" customWidth="1"/>
    <col min="3" max="3" width="44.375" style="0" customWidth="1"/>
    <col min="4" max="4" width="35.00390625" style="238" customWidth="1"/>
    <col min="5" max="5" width="13.125" style="239" customWidth="1"/>
    <col min="6" max="6" width="13.125" style="0" customWidth="1"/>
    <col min="7" max="8" width="14.625" style="0" customWidth="1"/>
    <col min="9" max="9" width="15.00390625" style="0" hidden="1" customWidth="1"/>
    <col min="10" max="10" width="16.625" style="0" hidden="1" customWidth="1"/>
    <col min="11" max="11" width="17.00390625" style="0" hidden="1" customWidth="1"/>
    <col min="12" max="12" width="17.00390625" style="0" customWidth="1"/>
    <col min="13" max="13" width="14.625" style="0" customWidth="1"/>
    <col min="14" max="14" width="15.00390625" style="0" customWidth="1"/>
    <col min="15" max="15" width="15.625" style="0" customWidth="1"/>
    <col min="16" max="16" width="14.75390625" style="0" customWidth="1"/>
    <col min="17" max="17" width="13.125" style="0" bestFit="1" customWidth="1"/>
  </cols>
  <sheetData>
    <row r="1" spans="8:13" ht="17.25" customHeight="1">
      <c r="H1" s="122"/>
      <c r="M1" s="122" t="s">
        <v>160</v>
      </c>
    </row>
    <row r="2" spans="1:13" s="245" customFormat="1" ht="18" customHeight="1">
      <c r="A2" s="240"/>
      <c r="B2" s="241" t="s">
        <v>161</v>
      </c>
      <c r="C2" s="242"/>
      <c r="D2" s="243"/>
      <c r="E2" s="244"/>
      <c r="H2" s="122"/>
      <c r="M2" s="122" t="s">
        <v>2</v>
      </c>
    </row>
    <row r="3" spans="10:16" ht="13.5" thickBot="1">
      <c r="J3" s="153"/>
      <c r="K3" s="246" t="s">
        <v>4</v>
      </c>
      <c r="L3" s="246"/>
      <c r="O3" s="153"/>
      <c r="P3" s="246" t="s">
        <v>4</v>
      </c>
    </row>
    <row r="4" spans="1:16" s="255" customFormat="1" ht="19.5" customHeight="1" thickTop="1">
      <c r="A4" s="247"/>
      <c r="B4" s="247"/>
      <c r="C4" s="248"/>
      <c r="D4" s="249"/>
      <c r="E4" s="250"/>
      <c r="F4" s="248"/>
      <c r="G4" s="251" t="s">
        <v>162</v>
      </c>
      <c r="H4" s="250" t="s">
        <v>163</v>
      </c>
      <c r="I4" s="252" t="s">
        <v>13</v>
      </c>
      <c r="J4" s="252"/>
      <c r="K4" s="253"/>
      <c r="L4" s="248"/>
      <c r="M4" s="254" t="s">
        <v>163</v>
      </c>
      <c r="N4" s="252" t="s">
        <v>13</v>
      </c>
      <c r="O4" s="252"/>
      <c r="P4" s="253"/>
    </row>
    <row r="5" spans="1:16" ht="19.5" customHeight="1">
      <c r="A5" s="256" t="s">
        <v>9</v>
      </c>
      <c r="B5" s="256" t="s">
        <v>63</v>
      </c>
      <c r="C5" s="132" t="s">
        <v>164</v>
      </c>
      <c r="D5" s="257" t="s">
        <v>165</v>
      </c>
      <c r="E5" s="133" t="s">
        <v>166</v>
      </c>
      <c r="F5" s="257" t="s">
        <v>167</v>
      </c>
      <c r="G5" s="258" t="s">
        <v>168</v>
      </c>
      <c r="H5" s="133" t="s">
        <v>69</v>
      </c>
      <c r="I5" s="259" t="s">
        <v>169</v>
      </c>
      <c r="J5" s="260" t="s">
        <v>170</v>
      </c>
      <c r="K5" s="261" t="s">
        <v>171</v>
      </c>
      <c r="L5" s="262" t="s">
        <v>7</v>
      </c>
      <c r="M5" s="263" t="s">
        <v>69</v>
      </c>
      <c r="N5" s="259" t="s">
        <v>169</v>
      </c>
      <c r="O5" s="260" t="s">
        <v>170</v>
      </c>
      <c r="P5" s="261" t="s">
        <v>171</v>
      </c>
    </row>
    <row r="6" spans="1:16" ht="21.75" customHeight="1">
      <c r="A6" s="264"/>
      <c r="B6" s="264"/>
      <c r="C6" s="265" t="s">
        <v>172</v>
      </c>
      <c r="D6" s="266" t="s">
        <v>60</v>
      </c>
      <c r="E6" s="267" t="s">
        <v>173</v>
      </c>
      <c r="F6" s="267" t="s">
        <v>174</v>
      </c>
      <c r="G6" s="268" t="s">
        <v>175</v>
      </c>
      <c r="H6" s="267" t="s">
        <v>60</v>
      </c>
      <c r="I6" s="269" t="s">
        <v>176</v>
      </c>
      <c r="J6" s="270" t="s">
        <v>177</v>
      </c>
      <c r="K6" s="271" t="s">
        <v>178</v>
      </c>
      <c r="L6" s="271"/>
      <c r="M6" s="272" t="s">
        <v>60</v>
      </c>
      <c r="N6" s="269" t="s">
        <v>176</v>
      </c>
      <c r="O6" s="270" t="s">
        <v>177</v>
      </c>
      <c r="P6" s="271" t="s">
        <v>178</v>
      </c>
    </row>
    <row r="7" spans="1:16" ht="30" customHeight="1" thickBot="1">
      <c r="A7" s="273"/>
      <c r="B7" s="273"/>
      <c r="C7" s="274"/>
      <c r="D7" s="275"/>
      <c r="E7" s="276"/>
      <c r="F7" s="277" t="s">
        <v>179</v>
      </c>
      <c r="G7" s="278" t="s">
        <v>180</v>
      </c>
      <c r="H7" s="277" t="s">
        <v>65</v>
      </c>
      <c r="I7" s="279" t="s">
        <v>181</v>
      </c>
      <c r="J7" s="280" t="s">
        <v>182</v>
      </c>
      <c r="K7" s="281" t="s">
        <v>183</v>
      </c>
      <c r="L7" s="281"/>
      <c r="M7" s="282" t="s">
        <v>66</v>
      </c>
      <c r="N7" s="279" t="s">
        <v>181</v>
      </c>
      <c r="O7" s="280" t="s">
        <v>182</v>
      </c>
      <c r="P7" s="281" t="s">
        <v>183</v>
      </c>
    </row>
    <row r="8" spans="1:16" s="287" customFormat="1" ht="13.5" thickBot="1" thickTop="1">
      <c r="A8" s="283">
        <v>1</v>
      </c>
      <c r="B8" s="283">
        <v>2</v>
      </c>
      <c r="C8" s="283">
        <v>3</v>
      </c>
      <c r="D8" s="284">
        <v>4</v>
      </c>
      <c r="E8" s="283">
        <v>5</v>
      </c>
      <c r="F8" s="283">
        <v>6</v>
      </c>
      <c r="G8" s="285">
        <v>7</v>
      </c>
      <c r="H8" s="283">
        <v>8</v>
      </c>
      <c r="I8" s="286">
        <v>9</v>
      </c>
      <c r="J8" s="283">
        <v>10</v>
      </c>
      <c r="K8" s="283">
        <v>11</v>
      </c>
      <c r="L8" s="283">
        <v>9</v>
      </c>
      <c r="M8" s="283">
        <v>10</v>
      </c>
      <c r="N8" s="283">
        <v>11</v>
      </c>
      <c r="O8" s="283">
        <v>12</v>
      </c>
      <c r="P8" s="283">
        <v>13</v>
      </c>
    </row>
    <row r="9" spans="1:17" s="297" customFormat="1" ht="24.75" customHeight="1" thickBot="1" thickTop="1">
      <c r="A9" s="288"/>
      <c r="B9" s="288"/>
      <c r="C9" s="289" t="s">
        <v>184</v>
      </c>
      <c r="D9" s="290" t="s">
        <v>0</v>
      </c>
      <c r="E9" s="291" t="s">
        <v>0</v>
      </c>
      <c r="F9" s="292"/>
      <c r="G9" s="293">
        <v>173537620</v>
      </c>
      <c r="H9" s="294">
        <f>83976000</f>
        <v>83976000</v>
      </c>
      <c r="I9" s="295" t="e">
        <f>I11+I65+#REF!</f>
        <v>#REF!</v>
      </c>
      <c r="J9" s="292" t="e">
        <f>J11+J65</f>
        <v>#REF!</v>
      </c>
      <c r="K9" s="292" t="e">
        <f>K11+K65</f>
        <v>#REF!</v>
      </c>
      <c r="L9" s="292">
        <f>L11+L65</f>
        <v>6309450</v>
      </c>
      <c r="M9" s="296">
        <f>L9+H9</f>
        <v>90285450</v>
      </c>
      <c r="N9" s="292">
        <f>65703000+N63+L56+L50+L47+L43+L36+L29+L22+L19+L12</f>
        <v>71529450</v>
      </c>
      <c r="O9" s="292">
        <f>18257000+O63+O64</f>
        <v>18740000</v>
      </c>
      <c r="P9" s="292">
        <f>P65</f>
        <v>16000</v>
      </c>
      <c r="Q9" s="297">
        <f>P9+O9+N9</f>
        <v>90285450</v>
      </c>
    </row>
    <row r="10" spans="1:16" s="306" customFormat="1" ht="13.5" customHeight="1">
      <c r="A10" s="298"/>
      <c r="B10" s="298"/>
      <c r="C10" s="299" t="s">
        <v>13</v>
      </c>
      <c r="D10" s="300"/>
      <c r="E10" s="301"/>
      <c r="F10" s="299"/>
      <c r="G10" s="302"/>
      <c r="H10" s="303"/>
      <c r="I10" s="304"/>
      <c r="J10" s="299"/>
      <c r="K10" s="299"/>
      <c r="L10" s="299"/>
      <c r="M10" s="305"/>
      <c r="N10" s="299"/>
      <c r="O10" s="299"/>
      <c r="P10" s="299"/>
    </row>
    <row r="11" spans="1:17" s="315" customFormat="1" ht="22.5" customHeight="1" thickBot="1">
      <c r="A11" s="307"/>
      <c r="B11" s="307"/>
      <c r="C11" s="308" t="s">
        <v>71</v>
      </c>
      <c r="D11" s="309"/>
      <c r="E11" s="310"/>
      <c r="F11" s="308"/>
      <c r="G11" s="311">
        <v>173537620</v>
      </c>
      <c r="H11" s="312">
        <f>83960000</f>
        <v>83960000</v>
      </c>
      <c r="I11" s="313" t="e">
        <f>I12+I22+#REF!+#REF!+I29+I36+I43+I47+I50+I56+I59</f>
        <v>#REF!</v>
      </c>
      <c r="J11" s="313" t="e">
        <f>J12+J22+#REF!+J29+J36+J43+J47+J50+J56+J59</f>
        <v>#REF!</v>
      </c>
      <c r="K11" s="313"/>
      <c r="L11" s="313">
        <f>L12+L19+L22+L29+L36+L43+L47+L50+L56+L59</f>
        <v>6309450</v>
      </c>
      <c r="M11" s="314">
        <f aca="true" t="shared" si="0" ref="M11:M18">L11+H11</f>
        <v>90269450</v>
      </c>
      <c r="N11" s="308">
        <f>65703000+L13+L16+L20+L23+L25+L27+L30+L34+L37+L40+L44+L51+L53+L57+N63+L48</f>
        <v>71529450</v>
      </c>
      <c r="O11" s="308">
        <f>18257000+O63+O64</f>
        <v>18740000</v>
      </c>
      <c r="P11" s="308"/>
      <c r="Q11" s="297">
        <f>P11+O11+N11</f>
        <v>90269450</v>
      </c>
    </row>
    <row r="12" spans="1:17" s="324" customFormat="1" ht="20.25" customHeight="1" thickTop="1">
      <c r="A12" s="316">
        <v>600</v>
      </c>
      <c r="B12" s="316"/>
      <c r="C12" s="317" t="s">
        <v>72</v>
      </c>
      <c r="D12" s="318"/>
      <c r="E12" s="319"/>
      <c r="F12" s="317"/>
      <c r="G12" s="320">
        <v>80223400</v>
      </c>
      <c r="H12" s="321">
        <f>35279000</f>
        <v>35279000</v>
      </c>
      <c r="I12" s="322">
        <f>I13+I16</f>
        <v>400000</v>
      </c>
      <c r="J12" s="317"/>
      <c r="K12" s="317"/>
      <c r="L12" s="317">
        <f>L13+L16</f>
        <v>920850</v>
      </c>
      <c r="M12" s="323">
        <f t="shared" si="0"/>
        <v>36199850</v>
      </c>
      <c r="N12" s="317">
        <f>35279000+L14+L15+L17+L18</f>
        <v>36199850</v>
      </c>
      <c r="O12" s="317"/>
      <c r="P12" s="317"/>
      <c r="Q12" s="297"/>
    </row>
    <row r="13" spans="1:17" s="315" customFormat="1" ht="28.5" customHeight="1">
      <c r="A13" s="325"/>
      <c r="B13" s="326">
        <v>60015</v>
      </c>
      <c r="C13" s="327" t="s">
        <v>73</v>
      </c>
      <c r="D13" s="328"/>
      <c r="E13" s="329"/>
      <c r="F13" s="330"/>
      <c r="G13" s="331">
        <v>76398591</v>
      </c>
      <c r="H13" s="332">
        <f>32579000</f>
        <v>32579000</v>
      </c>
      <c r="I13" s="330">
        <f>SUM(I14:I14)</f>
        <v>200000</v>
      </c>
      <c r="J13" s="330"/>
      <c r="K13" s="330"/>
      <c r="L13" s="330">
        <f>L14+L15</f>
        <v>480000</v>
      </c>
      <c r="M13" s="333">
        <f t="shared" si="0"/>
        <v>33059000</v>
      </c>
      <c r="N13" s="330">
        <f>32579000+L14+L15</f>
        <v>33059000</v>
      </c>
      <c r="O13" s="330"/>
      <c r="P13" s="330"/>
      <c r="Q13" s="297"/>
    </row>
    <row r="14" spans="1:17" s="324" customFormat="1" ht="37.5" customHeight="1">
      <c r="A14" s="298"/>
      <c r="B14" s="298"/>
      <c r="C14" s="334" t="s">
        <v>185</v>
      </c>
      <c r="D14" s="335" t="s">
        <v>186</v>
      </c>
      <c r="E14" s="336">
        <v>2004</v>
      </c>
      <c r="F14" s="337"/>
      <c r="G14" s="338"/>
      <c r="H14" s="339">
        <v>200000</v>
      </c>
      <c r="I14" s="340">
        <v>200000</v>
      </c>
      <c r="J14" s="341"/>
      <c r="K14" s="341"/>
      <c r="L14" s="341">
        <f>100000</f>
        <v>100000</v>
      </c>
      <c r="M14" s="342">
        <f t="shared" si="0"/>
        <v>300000</v>
      </c>
      <c r="N14" s="341">
        <f>L14+H14</f>
        <v>300000</v>
      </c>
      <c r="O14" s="341"/>
      <c r="P14" s="341"/>
      <c r="Q14" s="297"/>
    </row>
    <row r="15" spans="1:17" s="324" customFormat="1" ht="60.75">
      <c r="A15" s="298"/>
      <c r="B15" s="298"/>
      <c r="C15" s="300" t="s">
        <v>187</v>
      </c>
      <c r="D15" s="343" t="s">
        <v>188</v>
      </c>
      <c r="E15" s="344">
        <v>2004</v>
      </c>
      <c r="F15" s="345"/>
      <c r="G15" s="346"/>
      <c r="H15" s="347"/>
      <c r="I15" s="304"/>
      <c r="J15" s="299"/>
      <c r="K15" s="299"/>
      <c r="L15" s="299">
        <f>200000+180000</f>
        <v>380000</v>
      </c>
      <c r="M15" s="348">
        <f t="shared" si="0"/>
        <v>380000</v>
      </c>
      <c r="N15" s="299">
        <f>200000+180000</f>
        <v>380000</v>
      </c>
      <c r="O15" s="299"/>
      <c r="P15" s="299"/>
      <c r="Q15" s="297"/>
    </row>
    <row r="16" spans="1:17" s="315" customFormat="1" ht="20.25" customHeight="1">
      <c r="A16" s="325"/>
      <c r="B16" s="349">
        <v>60016</v>
      </c>
      <c r="C16" s="330" t="s">
        <v>75</v>
      </c>
      <c r="D16" s="350"/>
      <c r="E16" s="351"/>
      <c r="F16" s="177"/>
      <c r="G16" s="331">
        <v>3824809</v>
      </c>
      <c r="H16" s="332">
        <f>2700000</f>
        <v>2700000</v>
      </c>
      <c r="I16" s="352">
        <f>SUM(I17:I17)</f>
        <v>200000</v>
      </c>
      <c r="J16" s="330"/>
      <c r="K16" s="330"/>
      <c r="L16" s="330">
        <f>L17+L18</f>
        <v>440850</v>
      </c>
      <c r="M16" s="333">
        <f t="shared" si="0"/>
        <v>3140850</v>
      </c>
      <c r="N16" s="330">
        <f>2700000+L17+L18</f>
        <v>3140850</v>
      </c>
      <c r="O16" s="330"/>
      <c r="P16" s="330"/>
      <c r="Q16" s="297"/>
    </row>
    <row r="17" spans="1:17" s="324" customFormat="1" ht="60.75" customHeight="1">
      <c r="A17" s="298"/>
      <c r="B17" s="298"/>
      <c r="C17" s="353" t="s">
        <v>189</v>
      </c>
      <c r="D17" s="354" t="s">
        <v>190</v>
      </c>
      <c r="E17" s="355" t="s">
        <v>191</v>
      </c>
      <c r="F17" s="356">
        <f>3447168+370000</f>
        <v>3817168</v>
      </c>
      <c r="G17" s="357">
        <f>1947168+300000</f>
        <v>2247168</v>
      </c>
      <c r="H17" s="358">
        <f>I17+J17+K17</f>
        <v>200000</v>
      </c>
      <c r="I17" s="359">
        <v>200000</v>
      </c>
      <c r="J17" s="353"/>
      <c r="K17" s="353"/>
      <c r="L17" s="353">
        <f>370000</f>
        <v>370000</v>
      </c>
      <c r="M17" s="360">
        <f t="shared" si="0"/>
        <v>570000</v>
      </c>
      <c r="N17" s="353">
        <v>570000</v>
      </c>
      <c r="O17" s="353"/>
      <c r="P17" s="353"/>
      <c r="Q17" s="297"/>
    </row>
    <row r="18" spans="1:17" s="324" customFormat="1" ht="60.75">
      <c r="A18" s="361"/>
      <c r="B18" s="362"/>
      <c r="C18" s="363" t="s">
        <v>192</v>
      </c>
      <c r="D18" s="364" t="s">
        <v>193</v>
      </c>
      <c r="E18" s="365">
        <v>2004</v>
      </c>
      <c r="F18" s="366"/>
      <c r="G18" s="367"/>
      <c r="H18" s="368"/>
      <c r="I18" s="369"/>
      <c r="J18" s="369"/>
      <c r="K18" s="369"/>
      <c r="L18" s="369">
        <f>25000+8000+37850</f>
        <v>70850</v>
      </c>
      <c r="M18" s="370">
        <f t="shared" si="0"/>
        <v>70850</v>
      </c>
      <c r="N18" s="363">
        <v>70850</v>
      </c>
      <c r="O18" s="363"/>
      <c r="P18" s="363"/>
      <c r="Q18" s="297"/>
    </row>
    <row r="19" spans="1:17" s="324" customFormat="1" ht="21.75" customHeight="1">
      <c r="A19" s="371">
        <v>630</v>
      </c>
      <c r="B19" s="372"/>
      <c r="C19" s="373" t="s">
        <v>77</v>
      </c>
      <c r="D19" s="374"/>
      <c r="E19" s="375"/>
      <c r="F19" s="376"/>
      <c r="G19" s="377"/>
      <c r="H19" s="378"/>
      <c r="I19" s="379"/>
      <c r="J19" s="379"/>
      <c r="K19" s="379"/>
      <c r="L19" s="379">
        <f>L20</f>
        <v>12000</v>
      </c>
      <c r="M19" s="380">
        <f>N19+O19+P19</f>
        <v>12000</v>
      </c>
      <c r="N19" s="373">
        <f>N20</f>
        <v>12000</v>
      </c>
      <c r="O19" s="373"/>
      <c r="P19" s="373"/>
      <c r="Q19" s="297"/>
    </row>
    <row r="20" spans="1:17" s="324" customFormat="1" ht="23.25" customHeight="1">
      <c r="A20" s="381"/>
      <c r="B20" s="382">
        <v>63001</v>
      </c>
      <c r="C20" s="383" t="s">
        <v>78</v>
      </c>
      <c r="D20" s="384"/>
      <c r="E20" s="385"/>
      <c r="F20" s="386"/>
      <c r="G20" s="387"/>
      <c r="H20" s="388"/>
      <c r="I20" s="389"/>
      <c r="J20" s="389"/>
      <c r="K20" s="389"/>
      <c r="L20" s="389">
        <f>L21</f>
        <v>12000</v>
      </c>
      <c r="M20" s="390">
        <f>N20+O20+P20</f>
        <v>12000</v>
      </c>
      <c r="N20" s="383">
        <f>N21</f>
        <v>12000</v>
      </c>
      <c r="O20" s="383"/>
      <c r="P20" s="383"/>
      <c r="Q20" s="297"/>
    </row>
    <row r="21" spans="1:17" s="324" customFormat="1" ht="21.75" customHeight="1">
      <c r="A21" s="361"/>
      <c r="B21" s="362"/>
      <c r="C21" s="363" t="s">
        <v>194</v>
      </c>
      <c r="D21" s="364" t="s">
        <v>195</v>
      </c>
      <c r="E21" s="365">
        <v>2004</v>
      </c>
      <c r="F21" s="366"/>
      <c r="G21" s="367"/>
      <c r="H21" s="368"/>
      <c r="I21" s="369"/>
      <c r="J21" s="369"/>
      <c r="K21" s="369"/>
      <c r="L21" s="369">
        <v>12000</v>
      </c>
      <c r="M21" s="370">
        <f>N21+O21+P21</f>
        <v>12000</v>
      </c>
      <c r="N21" s="363">
        <v>12000</v>
      </c>
      <c r="O21" s="363"/>
      <c r="P21" s="363"/>
      <c r="Q21" s="297"/>
    </row>
    <row r="22" spans="1:17" s="324" customFormat="1" ht="19.5" customHeight="1">
      <c r="A22" s="316">
        <v>700</v>
      </c>
      <c r="B22" s="316"/>
      <c r="C22" s="391" t="s">
        <v>16</v>
      </c>
      <c r="D22" s="392"/>
      <c r="E22" s="393"/>
      <c r="F22" s="391"/>
      <c r="G22" s="394">
        <f>G25</f>
        <v>2000000</v>
      </c>
      <c r="H22" s="395">
        <f>3300000</f>
        <v>3300000</v>
      </c>
      <c r="I22" s="396" t="e">
        <f>I27+#REF!+I25</f>
        <v>#REF!</v>
      </c>
      <c r="J22" s="396"/>
      <c r="K22" s="396"/>
      <c r="L22" s="396">
        <f>L25+L27+L23</f>
        <v>50000</v>
      </c>
      <c r="M22" s="397">
        <f aca="true" t="shared" si="1" ref="M22:M31">L22+H22</f>
        <v>3350000</v>
      </c>
      <c r="N22" s="391">
        <f>3300000+L26+L28+L23</f>
        <v>3350000</v>
      </c>
      <c r="O22" s="391"/>
      <c r="P22" s="391"/>
      <c r="Q22" s="297"/>
    </row>
    <row r="23" spans="1:17" s="408" customFormat="1" ht="19.5" customHeight="1">
      <c r="A23" s="398"/>
      <c r="B23" s="399">
        <v>70001</v>
      </c>
      <c r="C23" s="400" t="s">
        <v>81</v>
      </c>
      <c r="D23" s="401"/>
      <c r="E23" s="402"/>
      <c r="F23" s="400"/>
      <c r="G23" s="403"/>
      <c r="H23" s="404">
        <v>300000</v>
      </c>
      <c r="I23" s="405"/>
      <c r="J23" s="405"/>
      <c r="K23" s="405"/>
      <c r="L23" s="405">
        <f>L24</f>
        <v>50000</v>
      </c>
      <c r="M23" s="406">
        <f t="shared" si="1"/>
        <v>350000</v>
      </c>
      <c r="N23" s="400">
        <f>L23+H23</f>
        <v>350000</v>
      </c>
      <c r="O23" s="400"/>
      <c r="P23" s="400"/>
      <c r="Q23" s="407"/>
    </row>
    <row r="24" spans="1:17" s="408" customFormat="1" ht="60">
      <c r="A24" s="398"/>
      <c r="B24" s="409"/>
      <c r="C24" s="410" t="s">
        <v>196</v>
      </c>
      <c r="D24" s="411" t="s">
        <v>197</v>
      </c>
      <c r="E24" s="412">
        <v>2004</v>
      </c>
      <c r="F24" s="410"/>
      <c r="G24" s="413"/>
      <c r="H24" s="414">
        <v>300000</v>
      </c>
      <c r="I24" s="415"/>
      <c r="J24" s="415"/>
      <c r="K24" s="415"/>
      <c r="L24" s="415">
        <v>50000</v>
      </c>
      <c r="M24" s="416">
        <f t="shared" si="1"/>
        <v>350000</v>
      </c>
      <c r="N24" s="410">
        <f>L24+H24</f>
        <v>350000</v>
      </c>
      <c r="O24" s="410"/>
      <c r="P24" s="410"/>
      <c r="Q24" s="407"/>
    </row>
    <row r="25" spans="1:17" s="315" customFormat="1" ht="21.75" customHeight="1">
      <c r="A25" s="325"/>
      <c r="B25" s="349">
        <v>70021</v>
      </c>
      <c r="C25" s="330" t="s">
        <v>86</v>
      </c>
      <c r="D25" s="328"/>
      <c r="E25" s="329"/>
      <c r="F25" s="330"/>
      <c r="G25" s="331">
        <f>G26</f>
        <v>2000000</v>
      </c>
      <c r="H25" s="332">
        <f>I25+J25+K25</f>
        <v>1500000</v>
      </c>
      <c r="I25" s="352">
        <f>I26</f>
        <v>1500000</v>
      </c>
      <c r="J25" s="352"/>
      <c r="K25" s="352"/>
      <c r="L25" s="352">
        <f>L26</f>
        <v>-500000</v>
      </c>
      <c r="M25" s="333">
        <f t="shared" si="1"/>
        <v>1000000</v>
      </c>
      <c r="N25" s="330">
        <f>N26</f>
        <v>1000000</v>
      </c>
      <c r="O25" s="330"/>
      <c r="P25" s="330"/>
      <c r="Q25" s="297"/>
    </row>
    <row r="26" spans="1:17" s="324" customFormat="1" ht="43.5" customHeight="1">
      <c r="A26" s="298"/>
      <c r="B26" s="417"/>
      <c r="C26" s="418" t="s">
        <v>198</v>
      </c>
      <c r="D26" s="350" t="s">
        <v>199</v>
      </c>
      <c r="E26" s="419" t="s">
        <v>200</v>
      </c>
      <c r="F26" s="420">
        <v>13000000</v>
      </c>
      <c r="G26" s="421">
        <v>2000000</v>
      </c>
      <c r="H26" s="422">
        <v>1500000</v>
      </c>
      <c r="I26" s="423">
        <v>1500000</v>
      </c>
      <c r="J26" s="420"/>
      <c r="K26" s="420"/>
      <c r="L26" s="420">
        <v>-500000</v>
      </c>
      <c r="M26" s="424">
        <f t="shared" si="1"/>
        <v>1000000</v>
      </c>
      <c r="N26" s="420">
        <v>1000000</v>
      </c>
      <c r="O26" s="420"/>
      <c r="P26" s="420"/>
      <c r="Q26" s="297"/>
    </row>
    <row r="27" spans="1:17" s="315" customFormat="1" ht="21.75" customHeight="1">
      <c r="A27" s="325"/>
      <c r="B27" s="349">
        <v>70095</v>
      </c>
      <c r="C27" s="330" t="s">
        <v>88</v>
      </c>
      <c r="D27" s="328"/>
      <c r="E27" s="329"/>
      <c r="F27" s="330"/>
      <c r="G27" s="331"/>
      <c r="H27" s="332">
        <f>I27+J27+K27</f>
        <v>1500000</v>
      </c>
      <c r="I27" s="352">
        <f>I28</f>
        <v>1500000</v>
      </c>
      <c r="J27" s="352"/>
      <c r="K27" s="352"/>
      <c r="L27" s="352">
        <f>L28</f>
        <v>500000</v>
      </c>
      <c r="M27" s="333">
        <f t="shared" si="1"/>
        <v>2000000</v>
      </c>
      <c r="N27" s="330">
        <f>N28</f>
        <v>2000000</v>
      </c>
      <c r="O27" s="330"/>
      <c r="P27" s="330"/>
      <c r="Q27" s="297"/>
    </row>
    <row r="28" spans="1:17" s="324" customFormat="1" ht="29.25">
      <c r="A28" s="361"/>
      <c r="B28" s="417"/>
      <c r="C28" s="418" t="s">
        <v>201</v>
      </c>
      <c r="D28" s="350" t="s">
        <v>202</v>
      </c>
      <c r="E28" s="419">
        <v>2004</v>
      </c>
      <c r="F28" s="420"/>
      <c r="G28" s="421"/>
      <c r="H28" s="422">
        <v>1500000</v>
      </c>
      <c r="I28" s="423">
        <v>1500000</v>
      </c>
      <c r="J28" s="420"/>
      <c r="K28" s="420"/>
      <c r="L28" s="420">
        <v>500000</v>
      </c>
      <c r="M28" s="424">
        <f t="shared" si="1"/>
        <v>2000000</v>
      </c>
      <c r="N28" s="420">
        <v>2000000</v>
      </c>
      <c r="O28" s="420"/>
      <c r="P28" s="420"/>
      <c r="Q28" s="297"/>
    </row>
    <row r="29" spans="1:17" s="324" customFormat="1" ht="30.75" customHeight="1">
      <c r="A29" s="425">
        <v>754</v>
      </c>
      <c r="B29" s="316"/>
      <c r="C29" s="426" t="s">
        <v>25</v>
      </c>
      <c r="D29" s="392"/>
      <c r="E29" s="393"/>
      <c r="F29" s="391"/>
      <c r="G29" s="394">
        <v>72009</v>
      </c>
      <c r="H29" s="395">
        <v>250000</v>
      </c>
      <c r="I29" s="396" t="e">
        <f>#REF!+I34</f>
        <v>#REF!</v>
      </c>
      <c r="J29" s="396"/>
      <c r="K29" s="396"/>
      <c r="L29" s="396">
        <f>L30+L34</f>
        <v>577600</v>
      </c>
      <c r="M29" s="397">
        <f t="shared" si="1"/>
        <v>827600</v>
      </c>
      <c r="N29" s="391">
        <f>250000+L31+L35</f>
        <v>827600</v>
      </c>
      <c r="O29" s="391"/>
      <c r="P29" s="391"/>
      <c r="Q29" s="297"/>
    </row>
    <row r="30" spans="1:17" s="315" customFormat="1" ht="21" customHeight="1">
      <c r="A30" s="325"/>
      <c r="B30" s="427">
        <v>75405</v>
      </c>
      <c r="C30" s="428" t="s">
        <v>90</v>
      </c>
      <c r="D30" s="429"/>
      <c r="E30" s="430"/>
      <c r="F30" s="431"/>
      <c r="G30" s="432"/>
      <c r="H30" s="433"/>
      <c r="I30" s="434"/>
      <c r="J30" s="434"/>
      <c r="K30" s="434"/>
      <c r="L30" s="434">
        <f>L31</f>
        <v>100000</v>
      </c>
      <c r="M30" s="435">
        <f t="shared" si="1"/>
        <v>100000</v>
      </c>
      <c r="N30" s="431">
        <f>M30</f>
        <v>100000</v>
      </c>
      <c r="O30" s="431"/>
      <c r="P30" s="431"/>
      <c r="Q30" s="297"/>
    </row>
    <row r="31" spans="1:17" s="324" customFormat="1" ht="24.75">
      <c r="A31" s="361"/>
      <c r="B31" s="417"/>
      <c r="C31" s="418" t="s">
        <v>203</v>
      </c>
      <c r="D31" s="350" t="s">
        <v>204</v>
      </c>
      <c r="E31" s="419"/>
      <c r="F31" s="420"/>
      <c r="G31" s="421"/>
      <c r="H31" s="422"/>
      <c r="I31" s="423"/>
      <c r="J31" s="420"/>
      <c r="K31" s="420"/>
      <c r="L31" s="420">
        <v>100000</v>
      </c>
      <c r="M31" s="424">
        <f t="shared" si="1"/>
        <v>100000</v>
      </c>
      <c r="N31" s="420">
        <f>L31</f>
        <v>100000</v>
      </c>
      <c r="O31" s="420"/>
      <c r="P31" s="420"/>
      <c r="Q31" s="297"/>
    </row>
    <row r="32" spans="1:5" ht="12.75">
      <c r="A32"/>
      <c r="B32"/>
      <c r="D32"/>
      <c r="E32"/>
    </row>
    <row r="33" spans="1:5" ht="12.75">
      <c r="A33"/>
      <c r="B33"/>
      <c r="D33"/>
      <c r="E33"/>
    </row>
    <row r="34" spans="1:17" s="315" customFormat="1" ht="21" customHeight="1">
      <c r="A34" s="325"/>
      <c r="B34" s="427">
        <v>75495</v>
      </c>
      <c r="C34" s="436" t="s">
        <v>88</v>
      </c>
      <c r="D34" s="429"/>
      <c r="E34" s="430"/>
      <c r="F34" s="431"/>
      <c r="G34" s="432">
        <f>G35</f>
        <v>72009</v>
      </c>
      <c r="H34" s="433">
        <f>I34+J34+K34</f>
        <v>150000</v>
      </c>
      <c r="I34" s="434">
        <f>I35</f>
        <v>150000</v>
      </c>
      <c r="J34" s="434"/>
      <c r="K34" s="434"/>
      <c r="L34" s="434">
        <f>SUM(L35:L35)</f>
        <v>477600</v>
      </c>
      <c r="M34" s="435">
        <f>N34+O34+P34</f>
        <v>627600</v>
      </c>
      <c r="N34" s="431">
        <f>N35</f>
        <v>627600</v>
      </c>
      <c r="O34" s="431"/>
      <c r="P34" s="431"/>
      <c r="Q34" s="297"/>
    </row>
    <row r="35" spans="1:17" s="324" customFormat="1" ht="24.75">
      <c r="A35" s="361"/>
      <c r="B35" s="361"/>
      <c r="C35" s="418" t="s">
        <v>92</v>
      </c>
      <c r="D35" s="350" t="s">
        <v>205</v>
      </c>
      <c r="E35" s="437" t="s">
        <v>206</v>
      </c>
      <c r="F35" s="420">
        <v>849609</v>
      </c>
      <c r="G35" s="421">
        <v>72009</v>
      </c>
      <c r="H35" s="422">
        <f>I35+J35+K35</f>
        <v>150000</v>
      </c>
      <c r="I35" s="423">
        <v>150000</v>
      </c>
      <c r="J35" s="420"/>
      <c r="K35" s="420"/>
      <c r="L35" s="420">
        <f>500000-22400</f>
        <v>477600</v>
      </c>
      <c r="M35" s="424">
        <f>N35+O35+P35</f>
        <v>627600</v>
      </c>
      <c r="N35" s="420">
        <f>L35+H35</f>
        <v>627600</v>
      </c>
      <c r="O35" s="420"/>
      <c r="P35" s="420"/>
      <c r="Q35" s="297"/>
    </row>
    <row r="36" spans="1:17" s="324" customFormat="1" ht="21" customHeight="1">
      <c r="A36" s="438">
        <v>801</v>
      </c>
      <c r="B36" s="439"/>
      <c r="C36" s="318" t="s">
        <v>31</v>
      </c>
      <c r="D36" s="440"/>
      <c r="E36" s="319"/>
      <c r="F36" s="317"/>
      <c r="G36" s="320">
        <v>49802251</v>
      </c>
      <c r="H36" s="441">
        <v>27810000</v>
      </c>
      <c r="I36" s="322" t="e">
        <f>I37+I40+#REF!+#REF!</f>
        <v>#REF!</v>
      </c>
      <c r="J36" s="322" t="e">
        <f>J37+J40+#REF!+#REF!</f>
        <v>#REF!</v>
      </c>
      <c r="K36" s="322"/>
      <c r="L36" s="322">
        <f>L37+L40</f>
        <v>850000</v>
      </c>
      <c r="M36" s="442">
        <f aca="true" t="shared" si="2" ref="M36:M43">L36+H36</f>
        <v>28660000</v>
      </c>
      <c r="N36" s="317">
        <f>9853000+L38+L39+L41+L42</f>
        <v>10703000</v>
      </c>
      <c r="O36" s="317">
        <f>17957000</f>
        <v>17957000</v>
      </c>
      <c r="P36" s="317"/>
      <c r="Q36" s="297"/>
    </row>
    <row r="37" spans="1:17" s="315" customFormat="1" ht="21" customHeight="1">
      <c r="A37" s="443"/>
      <c r="B37" s="444">
        <v>80101</v>
      </c>
      <c r="C37" s="327" t="s">
        <v>32</v>
      </c>
      <c r="D37" s="328"/>
      <c r="E37" s="329"/>
      <c r="F37" s="330"/>
      <c r="G37" s="331">
        <v>25682782</v>
      </c>
      <c r="H37" s="332">
        <v>10590000</v>
      </c>
      <c r="I37" s="352">
        <f>SUM(I38:I39)</f>
        <v>1600000</v>
      </c>
      <c r="J37" s="352">
        <f>SUM(J38:J39)</f>
        <v>0</v>
      </c>
      <c r="K37" s="352"/>
      <c r="L37" s="352">
        <f>SUM(L38:L39)</f>
        <v>-250000</v>
      </c>
      <c r="M37" s="333">
        <f t="shared" si="2"/>
        <v>10340000</v>
      </c>
      <c r="N37" s="330">
        <f>4396000+L38+L39</f>
        <v>4146000</v>
      </c>
      <c r="O37" s="330">
        <f>6194000</f>
        <v>6194000</v>
      </c>
      <c r="P37" s="330"/>
      <c r="Q37" s="297"/>
    </row>
    <row r="38" spans="1:17" s="324" customFormat="1" ht="21" customHeight="1">
      <c r="A38" s="298"/>
      <c r="B38" s="298"/>
      <c r="C38" s="445" t="s">
        <v>207</v>
      </c>
      <c r="D38" s="446" t="s">
        <v>208</v>
      </c>
      <c r="E38" s="447" t="s">
        <v>209</v>
      </c>
      <c r="F38" s="448">
        <v>7000000</v>
      </c>
      <c r="G38" s="449">
        <f>70187</f>
        <v>70187</v>
      </c>
      <c r="H38" s="450">
        <f>I38+J38+K38</f>
        <v>600000</v>
      </c>
      <c r="I38" s="451">
        <v>600000</v>
      </c>
      <c r="J38" s="452"/>
      <c r="K38" s="452"/>
      <c r="L38" s="452">
        <v>-100000</v>
      </c>
      <c r="M38" s="453">
        <f t="shared" si="2"/>
        <v>500000</v>
      </c>
      <c r="N38" s="452">
        <v>500000</v>
      </c>
      <c r="O38" s="452"/>
      <c r="P38" s="452"/>
      <c r="Q38" s="297"/>
    </row>
    <row r="39" spans="1:17" s="324" customFormat="1" ht="21" customHeight="1">
      <c r="A39" s="298"/>
      <c r="B39" s="361"/>
      <c r="C39" s="454" t="s">
        <v>210</v>
      </c>
      <c r="D39" s="455" t="s">
        <v>211</v>
      </c>
      <c r="E39" s="365" t="s">
        <v>212</v>
      </c>
      <c r="F39" s="456">
        <v>13500000</v>
      </c>
      <c r="G39" s="457">
        <f>7633912+1532579</f>
        <v>9166491</v>
      </c>
      <c r="H39" s="458">
        <f>K39+J39+I39</f>
        <v>1000000</v>
      </c>
      <c r="I39" s="459">
        <v>1000000</v>
      </c>
      <c r="J39" s="460"/>
      <c r="K39" s="460"/>
      <c r="L39" s="460">
        <v>-150000</v>
      </c>
      <c r="M39" s="461">
        <f t="shared" si="2"/>
        <v>850000</v>
      </c>
      <c r="N39" s="460">
        <v>850000</v>
      </c>
      <c r="O39" s="460"/>
      <c r="P39" s="460"/>
      <c r="Q39" s="297"/>
    </row>
    <row r="40" spans="1:17" s="315" customFormat="1" ht="21" customHeight="1">
      <c r="A40" s="325"/>
      <c r="B40" s="427">
        <v>80110</v>
      </c>
      <c r="C40" s="436" t="s">
        <v>34</v>
      </c>
      <c r="D40" s="436"/>
      <c r="E40" s="430"/>
      <c r="F40" s="431"/>
      <c r="G40" s="432">
        <v>2301913</v>
      </c>
      <c r="H40" s="433">
        <v>5890000</v>
      </c>
      <c r="I40" s="434">
        <f>SUM(I41:I42)</f>
        <v>1300000</v>
      </c>
      <c r="J40" s="434">
        <f>SUM(J41:J42)</f>
        <v>0</v>
      </c>
      <c r="K40" s="434"/>
      <c r="L40" s="434">
        <f>L41+L42</f>
        <v>1100000</v>
      </c>
      <c r="M40" s="435">
        <f t="shared" si="2"/>
        <v>6990000</v>
      </c>
      <c r="N40" s="431">
        <f>2277000+1100000</f>
        <v>3377000</v>
      </c>
      <c r="O40" s="431">
        <v>3613000</v>
      </c>
      <c r="P40" s="431"/>
      <c r="Q40" s="297"/>
    </row>
    <row r="41" spans="1:17" s="324" customFormat="1" ht="21" customHeight="1">
      <c r="A41" s="298"/>
      <c r="B41" s="381"/>
      <c r="C41" s="452" t="s">
        <v>213</v>
      </c>
      <c r="D41" s="335" t="s">
        <v>214</v>
      </c>
      <c r="E41" s="462" t="s">
        <v>209</v>
      </c>
      <c r="F41" s="337">
        <v>4477318</v>
      </c>
      <c r="G41" s="463">
        <v>1530307</v>
      </c>
      <c r="H41" s="464">
        <f>I41+J41+K41</f>
        <v>900000</v>
      </c>
      <c r="I41" s="451">
        <v>900000</v>
      </c>
      <c r="J41" s="452"/>
      <c r="K41" s="452"/>
      <c r="L41" s="452">
        <v>600000</v>
      </c>
      <c r="M41" s="465">
        <f t="shared" si="2"/>
        <v>1500000</v>
      </c>
      <c r="N41" s="452">
        <v>1500000</v>
      </c>
      <c r="O41" s="452"/>
      <c r="P41" s="452"/>
      <c r="Q41" s="297"/>
    </row>
    <row r="42" spans="1:17" s="324" customFormat="1" ht="21" customHeight="1">
      <c r="A42" s="298"/>
      <c r="B42" s="361"/>
      <c r="C42" s="460" t="s">
        <v>215</v>
      </c>
      <c r="D42" s="466" t="s">
        <v>216</v>
      </c>
      <c r="E42" s="467" t="s">
        <v>206</v>
      </c>
      <c r="F42" s="468">
        <v>2161240</v>
      </c>
      <c r="G42" s="469">
        <v>352974</v>
      </c>
      <c r="H42" s="470">
        <f>I42+J42+K42</f>
        <v>400000</v>
      </c>
      <c r="I42" s="459">
        <v>400000</v>
      </c>
      <c r="J42" s="460"/>
      <c r="K42" s="460"/>
      <c r="L42" s="460">
        <v>500000</v>
      </c>
      <c r="M42" s="471">
        <f t="shared" si="2"/>
        <v>900000</v>
      </c>
      <c r="N42" s="460">
        <v>900000</v>
      </c>
      <c r="O42" s="460"/>
      <c r="P42" s="460"/>
      <c r="Q42" s="297"/>
    </row>
    <row r="43" spans="1:17" s="324" customFormat="1" ht="18.75" customHeight="1">
      <c r="A43" s="316">
        <v>851</v>
      </c>
      <c r="B43" s="316"/>
      <c r="C43" s="391" t="s">
        <v>106</v>
      </c>
      <c r="D43" s="426"/>
      <c r="E43" s="393"/>
      <c r="F43" s="396"/>
      <c r="G43" s="394"/>
      <c r="H43" s="395">
        <v>1400000</v>
      </c>
      <c r="I43" s="396">
        <f>I44</f>
        <v>0</v>
      </c>
      <c r="J43" s="396"/>
      <c r="K43" s="396"/>
      <c r="L43" s="396">
        <f>L44</f>
        <v>180000</v>
      </c>
      <c r="M43" s="397">
        <f t="shared" si="2"/>
        <v>1580000</v>
      </c>
      <c r="N43" s="391">
        <f>1400000+180000</f>
        <v>1580000</v>
      </c>
      <c r="O43" s="391"/>
      <c r="P43" s="391"/>
      <c r="Q43" s="297"/>
    </row>
    <row r="44" spans="1:17" s="324" customFormat="1" ht="21" customHeight="1">
      <c r="A44" s="298" t="s">
        <v>0</v>
      </c>
      <c r="B44" s="472">
        <v>85121</v>
      </c>
      <c r="C44" s="473" t="s">
        <v>107</v>
      </c>
      <c r="D44" s="474"/>
      <c r="E44" s="475"/>
      <c r="F44" s="476"/>
      <c r="G44" s="477"/>
      <c r="H44" s="332"/>
      <c r="I44" s="476"/>
      <c r="J44" s="476"/>
      <c r="K44" s="476"/>
      <c r="L44" s="476">
        <f>L45+L46</f>
        <v>180000</v>
      </c>
      <c r="M44" s="333">
        <f>L44</f>
        <v>180000</v>
      </c>
      <c r="N44" s="166">
        <f>180000</f>
        <v>180000</v>
      </c>
      <c r="O44" s="166"/>
      <c r="P44" s="166"/>
      <c r="Q44" s="297"/>
    </row>
    <row r="45" spans="1:17" s="324" customFormat="1" ht="36.75">
      <c r="A45" s="298"/>
      <c r="B45" s="381"/>
      <c r="C45" s="445" t="s">
        <v>217</v>
      </c>
      <c r="D45" s="478" t="s">
        <v>218</v>
      </c>
      <c r="E45" s="479">
        <v>2004</v>
      </c>
      <c r="F45" s="452"/>
      <c r="G45" s="463"/>
      <c r="H45" s="450"/>
      <c r="I45" s="451"/>
      <c r="J45" s="451"/>
      <c r="K45" s="451"/>
      <c r="L45" s="451">
        <v>100000</v>
      </c>
      <c r="M45" s="453">
        <f>L45</f>
        <v>100000</v>
      </c>
      <c r="N45" s="452">
        <v>100000</v>
      </c>
      <c r="O45" s="452"/>
      <c r="P45" s="452"/>
      <c r="Q45" s="297"/>
    </row>
    <row r="46" spans="1:17" s="324" customFormat="1" ht="24.75">
      <c r="A46" s="298"/>
      <c r="B46" s="298"/>
      <c r="C46" s="300" t="s">
        <v>194</v>
      </c>
      <c r="D46" s="343" t="s">
        <v>219</v>
      </c>
      <c r="E46" s="480"/>
      <c r="F46" s="304"/>
      <c r="G46" s="481"/>
      <c r="H46" s="347"/>
      <c r="I46" s="304"/>
      <c r="J46" s="304"/>
      <c r="K46" s="304"/>
      <c r="L46" s="304">
        <v>80000</v>
      </c>
      <c r="M46" s="348">
        <f>L46</f>
        <v>80000</v>
      </c>
      <c r="N46" s="299">
        <v>80000</v>
      </c>
      <c r="O46" s="299"/>
      <c r="P46" s="299"/>
      <c r="Q46" s="297"/>
    </row>
    <row r="47" spans="1:17" s="324" customFormat="1" ht="19.5" customHeight="1">
      <c r="A47" s="316">
        <v>852</v>
      </c>
      <c r="B47" s="316"/>
      <c r="C47" s="391" t="s">
        <v>108</v>
      </c>
      <c r="D47" s="426"/>
      <c r="E47" s="393"/>
      <c r="F47" s="396"/>
      <c r="G47" s="394">
        <v>3941000</v>
      </c>
      <c r="H47" s="395">
        <v>860000</v>
      </c>
      <c r="I47" s="482" t="e">
        <f>#REF!+#REF!</f>
        <v>#REF!</v>
      </c>
      <c r="J47" s="482"/>
      <c r="K47" s="482"/>
      <c r="L47" s="482">
        <f>L48</f>
        <v>4000</v>
      </c>
      <c r="M47" s="397">
        <f>L47+H47</f>
        <v>864000</v>
      </c>
      <c r="N47" s="163">
        <f>860000+4000</f>
        <v>864000</v>
      </c>
      <c r="O47" s="163"/>
      <c r="P47" s="163"/>
      <c r="Q47" s="297"/>
    </row>
    <row r="48" spans="1:17" s="306" customFormat="1" ht="18.75" customHeight="1">
      <c r="A48" s="298"/>
      <c r="B48" s="483">
        <v>85219</v>
      </c>
      <c r="C48" s="484" t="s">
        <v>220</v>
      </c>
      <c r="D48" s="485"/>
      <c r="E48" s="486"/>
      <c r="F48" s="484"/>
      <c r="G48" s="487"/>
      <c r="H48" s="488"/>
      <c r="I48" s="489"/>
      <c r="J48" s="489"/>
      <c r="K48" s="489"/>
      <c r="L48" s="489">
        <f>L49</f>
        <v>4000</v>
      </c>
      <c r="M48" s="490">
        <f>L48+H48</f>
        <v>4000</v>
      </c>
      <c r="N48" s="484">
        <f>L48</f>
        <v>4000</v>
      </c>
      <c r="O48" s="484"/>
      <c r="P48" s="484"/>
      <c r="Q48" s="297"/>
    </row>
    <row r="49" spans="1:17" s="306" customFormat="1" ht="18.75" customHeight="1">
      <c r="A49" s="298"/>
      <c r="B49" s="381"/>
      <c r="C49" s="491" t="s">
        <v>194</v>
      </c>
      <c r="D49" s="492" t="s">
        <v>221</v>
      </c>
      <c r="E49" s="493">
        <v>2004</v>
      </c>
      <c r="F49" s="491"/>
      <c r="G49" s="494"/>
      <c r="H49" s="464"/>
      <c r="I49" s="495"/>
      <c r="J49" s="495"/>
      <c r="K49" s="495"/>
      <c r="L49" s="495">
        <v>4000</v>
      </c>
      <c r="M49" s="465">
        <f>L49+H49</f>
        <v>4000</v>
      </c>
      <c r="N49" s="491">
        <f>L49</f>
        <v>4000</v>
      </c>
      <c r="O49" s="491"/>
      <c r="P49" s="491"/>
      <c r="Q49" s="297"/>
    </row>
    <row r="50" spans="1:17" s="324" customFormat="1" ht="29.25" customHeight="1">
      <c r="A50" s="496">
        <v>900</v>
      </c>
      <c r="B50" s="316"/>
      <c r="C50" s="426" t="s">
        <v>222</v>
      </c>
      <c r="D50" s="426"/>
      <c r="E50" s="393"/>
      <c r="F50" s="391"/>
      <c r="G50" s="394">
        <v>22546906</v>
      </c>
      <c r="H50" s="395">
        <v>7182000</v>
      </c>
      <c r="I50" s="396" t="e">
        <f>#REF!+#REF!+I53</f>
        <v>#REF!</v>
      </c>
      <c r="J50" s="396" t="e">
        <f>#REF!+#REF!+J53</f>
        <v>#REF!</v>
      </c>
      <c r="K50" s="396"/>
      <c r="L50" s="396">
        <f>L51+L53</f>
        <v>3160000</v>
      </c>
      <c r="M50" s="397">
        <f>L50+H50</f>
        <v>10342000</v>
      </c>
      <c r="N50" s="391">
        <f>6982000+120000+L53</f>
        <v>10142000</v>
      </c>
      <c r="O50" s="391">
        <f>200000</f>
        <v>200000</v>
      </c>
      <c r="P50" s="391"/>
      <c r="Q50" s="297"/>
    </row>
    <row r="51" spans="1:17" s="306" customFormat="1" ht="22.5" customHeight="1">
      <c r="A51" s="298"/>
      <c r="B51" s="497">
        <v>90015</v>
      </c>
      <c r="C51" s="498" t="s">
        <v>127</v>
      </c>
      <c r="D51" s="499"/>
      <c r="E51" s="500"/>
      <c r="F51" s="501"/>
      <c r="G51" s="502"/>
      <c r="H51" s="503"/>
      <c r="I51" s="504"/>
      <c r="J51" s="504"/>
      <c r="K51" s="504"/>
      <c r="L51" s="504">
        <f>L52</f>
        <v>120000</v>
      </c>
      <c r="M51" s="505">
        <f>N51+O51+P51</f>
        <v>120000</v>
      </c>
      <c r="N51" s="177">
        <f>N52</f>
        <v>120000</v>
      </c>
      <c r="O51" s="177"/>
      <c r="P51" s="177"/>
      <c r="Q51" s="297"/>
    </row>
    <row r="52" spans="1:17" s="306" customFormat="1" ht="28.5" customHeight="1">
      <c r="A52" s="298"/>
      <c r="B52" s="298"/>
      <c r="C52" s="506" t="s">
        <v>223</v>
      </c>
      <c r="D52" s="507" t="s">
        <v>224</v>
      </c>
      <c r="E52" s="508">
        <v>2004</v>
      </c>
      <c r="F52" s="509"/>
      <c r="G52" s="481"/>
      <c r="H52" s="347"/>
      <c r="I52" s="304"/>
      <c r="J52" s="304"/>
      <c r="K52" s="304"/>
      <c r="L52" s="304">
        <v>120000</v>
      </c>
      <c r="M52" s="348">
        <f>N52+O52+P52</f>
        <v>120000</v>
      </c>
      <c r="N52" s="299">
        <v>120000</v>
      </c>
      <c r="O52" s="299"/>
      <c r="P52" s="299"/>
      <c r="Q52" s="297"/>
    </row>
    <row r="53" spans="1:17" s="315" customFormat="1" ht="21" customHeight="1">
      <c r="A53" s="325"/>
      <c r="B53" s="349">
        <v>90095</v>
      </c>
      <c r="C53" s="330" t="s">
        <v>88</v>
      </c>
      <c r="D53" s="350"/>
      <c r="E53" s="351"/>
      <c r="F53" s="177"/>
      <c r="G53" s="331"/>
      <c r="H53" s="332">
        <v>5500000</v>
      </c>
      <c r="I53" s="352">
        <f>SUM(I54:I54)</f>
        <v>1400000</v>
      </c>
      <c r="J53" s="330">
        <f>SUM(J54:J54)</f>
        <v>100000</v>
      </c>
      <c r="K53" s="330"/>
      <c r="L53" s="330">
        <f>L54+L55</f>
        <v>3040000</v>
      </c>
      <c r="M53" s="333">
        <f aca="true" t="shared" si="3" ref="M53:M65">L53+H53</f>
        <v>8540000</v>
      </c>
      <c r="N53" s="330">
        <f>5400000+3000000+40000</f>
        <v>8440000</v>
      </c>
      <c r="O53" s="330">
        <f>SUM(O54:O54)</f>
        <v>100000</v>
      </c>
      <c r="P53" s="330"/>
      <c r="Q53" s="297"/>
    </row>
    <row r="54" spans="1:17" s="324" customFormat="1" ht="29.25" customHeight="1">
      <c r="A54" s="298"/>
      <c r="B54" s="298"/>
      <c r="C54" s="334" t="s">
        <v>225</v>
      </c>
      <c r="D54" s="335"/>
      <c r="E54" s="336">
        <v>2004</v>
      </c>
      <c r="F54" s="337"/>
      <c r="G54" s="510"/>
      <c r="H54" s="339">
        <f>I54+J54+K54</f>
        <v>1500000</v>
      </c>
      <c r="I54" s="340">
        <v>1400000</v>
      </c>
      <c r="J54" s="341">
        <v>100000</v>
      </c>
      <c r="K54" s="341"/>
      <c r="L54" s="341">
        <f>3000000</f>
        <v>3000000</v>
      </c>
      <c r="M54" s="342">
        <f t="shared" si="3"/>
        <v>4500000</v>
      </c>
      <c r="N54" s="341">
        <f>L54+H54-100000</f>
        <v>4400000</v>
      </c>
      <c r="O54" s="341">
        <v>100000</v>
      </c>
      <c r="P54" s="341"/>
      <c r="Q54" s="297"/>
    </row>
    <row r="55" spans="1:17" s="324" customFormat="1" ht="36.75">
      <c r="A55" s="361"/>
      <c r="B55" s="361"/>
      <c r="C55" s="460" t="s">
        <v>226</v>
      </c>
      <c r="D55" s="474" t="s">
        <v>227</v>
      </c>
      <c r="E55" s="511">
        <v>2004</v>
      </c>
      <c r="F55" s="512"/>
      <c r="G55" s="469"/>
      <c r="H55" s="458"/>
      <c r="I55" s="459"/>
      <c r="J55" s="459"/>
      <c r="K55" s="459"/>
      <c r="L55" s="459">
        <v>40000</v>
      </c>
      <c r="M55" s="461">
        <f t="shared" si="3"/>
        <v>40000</v>
      </c>
      <c r="N55" s="460">
        <v>40000</v>
      </c>
      <c r="O55" s="460"/>
      <c r="P55" s="460"/>
      <c r="Q55" s="297"/>
    </row>
    <row r="56" spans="1:17" s="324" customFormat="1" ht="26.25" customHeight="1">
      <c r="A56" s="496">
        <v>921</v>
      </c>
      <c r="B56" s="316"/>
      <c r="C56" s="426" t="s">
        <v>51</v>
      </c>
      <c r="D56" s="392"/>
      <c r="E56" s="393"/>
      <c r="F56" s="391"/>
      <c r="G56" s="394">
        <v>1215205</v>
      </c>
      <c r="H56" s="395">
        <f>665000</f>
        <v>665000</v>
      </c>
      <c r="I56" s="396" t="e">
        <f>I57+#REF!+#REF!</f>
        <v>#REF!</v>
      </c>
      <c r="J56" s="396"/>
      <c r="K56" s="396"/>
      <c r="L56" s="396">
        <f>L57</f>
        <v>-30000</v>
      </c>
      <c r="M56" s="397">
        <f t="shared" si="3"/>
        <v>635000</v>
      </c>
      <c r="N56" s="391">
        <f>665000-30000</f>
        <v>635000</v>
      </c>
      <c r="O56" s="391"/>
      <c r="P56" s="391"/>
      <c r="Q56" s="297"/>
    </row>
    <row r="57" spans="1:17" s="315" customFormat="1" ht="21.75" customHeight="1">
      <c r="A57" s="325"/>
      <c r="B57" s="427">
        <v>92105</v>
      </c>
      <c r="C57" s="436" t="s">
        <v>128</v>
      </c>
      <c r="D57" s="429"/>
      <c r="E57" s="430"/>
      <c r="F57" s="431"/>
      <c r="G57" s="432"/>
      <c r="H57" s="433">
        <f>I57+J57+K57</f>
        <v>30000</v>
      </c>
      <c r="I57" s="434">
        <f>I58</f>
        <v>30000</v>
      </c>
      <c r="J57" s="434"/>
      <c r="K57" s="434"/>
      <c r="L57" s="434">
        <f>L58</f>
        <v>-30000</v>
      </c>
      <c r="M57" s="435">
        <f t="shared" si="3"/>
        <v>0</v>
      </c>
      <c r="N57" s="431">
        <f>N58</f>
        <v>0</v>
      </c>
      <c r="O57" s="431"/>
      <c r="P57" s="431"/>
      <c r="Q57" s="297"/>
    </row>
    <row r="58" spans="1:17" s="324" customFormat="1" ht="21.75" customHeight="1">
      <c r="A58" s="298"/>
      <c r="B58" s="361"/>
      <c r="C58" s="460" t="s">
        <v>194</v>
      </c>
      <c r="D58" s="455" t="s">
        <v>228</v>
      </c>
      <c r="E58" s="365">
        <v>2004</v>
      </c>
      <c r="F58" s="456"/>
      <c r="G58" s="457"/>
      <c r="H58" s="458">
        <f>I58+J58+K58</f>
        <v>30000</v>
      </c>
      <c r="I58" s="459">
        <v>30000</v>
      </c>
      <c r="J58" s="460"/>
      <c r="K58" s="460"/>
      <c r="L58" s="460">
        <v>-30000</v>
      </c>
      <c r="M58" s="461">
        <f t="shared" si="3"/>
        <v>0</v>
      </c>
      <c r="N58" s="460">
        <v>0</v>
      </c>
      <c r="O58" s="460"/>
      <c r="P58" s="460"/>
      <c r="Q58" s="297"/>
    </row>
    <row r="59" spans="1:17" s="324" customFormat="1" ht="21.75" customHeight="1">
      <c r="A59" s="316">
        <v>926</v>
      </c>
      <c r="B59" s="316"/>
      <c r="C59" s="391" t="s">
        <v>37</v>
      </c>
      <c r="D59" s="513"/>
      <c r="E59" s="514"/>
      <c r="F59" s="163"/>
      <c r="G59" s="394">
        <v>17671849</v>
      </c>
      <c r="H59" s="395">
        <v>5370000</v>
      </c>
      <c r="I59" s="391" t="e">
        <f>I60+I62+#REF!</f>
        <v>#REF!</v>
      </c>
      <c r="J59" s="391" t="e">
        <f>J60+J62+#REF!</f>
        <v>#REF!</v>
      </c>
      <c r="K59" s="391"/>
      <c r="L59" s="391">
        <f>L60+L62</f>
        <v>585000</v>
      </c>
      <c r="M59" s="397">
        <f t="shared" si="3"/>
        <v>5955000</v>
      </c>
      <c r="N59" s="391">
        <f>5270000+102000</f>
        <v>5372000</v>
      </c>
      <c r="O59" s="391">
        <f>100000+O63+O64</f>
        <v>583000</v>
      </c>
      <c r="P59" s="391"/>
      <c r="Q59" s="297"/>
    </row>
    <row r="60" spans="1:17" s="315" customFormat="1" ht="21.75" customHeight="1">
      <c r="A60" s="325"/>
      <c r="B60" s="307">
        <v>92601</v>
      </c>
      <c r="C60" s="431" t="s">
        <v>38</v>
      </c>
      <c r="D60" s="474"/>
      <c r="E60" s="515"/>
      <c r="F60" s="166"/>
      <c r="G60" s="432"/>
      <c r="H60" s="433">
        <f>I60+J60+K60</f>
        <v>120000</v>
      </c>
      <c r="I60" s="431">
        <f>I61</f>
        <v>120000</v>
      </c>
      <c r="J60" s="431"/>
      <c r="K60" s="431"/>
      <c r="L60" s="431"/>
      <c r="M60" s="435">
        <f t="shared" si="3"/>
        <v>120000</v>
      </c>
      <c r="N60" s="431">
        <f>N61</f>
        <v>120000</v>
      </c>
      <c r="O60" s="431"/>
      <c r="P60" s="431"/>
      <c r="Q60" s="297"/>
    </row>
    <row r="61" spans="1:17" s="324" customFormat="1" ht="36.75">
      <c r="A61" s="298"/>
      <c r="B61" s="361"/>
      <c r="C61" s="516" t="s">
        <v>229</v>
      </c>
      <c r="D61" s="466" t="s">
        <v>230</v>
      </c>
      <c r="E61" s="517">
        <v>2004</v>
      </c>
      <c r="F61" s="468"/>
      <c r="G61" s="518"/>
      <c r="H61" s="470">
        <f>I61+J61+K61</f>
        <v>120000</v>
      </c>
      <c r="I61" s="519">
        <v>120000</v>
      </c>
      <c r="J61" s="516"/>
      <c r="K61" s="516"/>
      <c r="L61" s="516"/>
      <c r="M61" s="471">
        <f t="shared" si="3"/>
        <v>120000</v>
      </c>
      <c r="N61" s="516">
        <v>120000</v>
      </c>
      <c r="O61" s="516"/>
      <c r="P61" s="516"/>
      <c r="Q61" s="297"/>
    </row>
    <row r="62" spans="1:17" s="315" customFormat="1" ht="21.75" customHeight="1">
      <c r="A62" s="325"/>
      <c r="B62" s="307">
        <v>92604</v>
      </c>
      <c r="C62" s="431" t="s">
        <v>134</v>
      </c>
      <c r="D62" s="474"/>
      <c r="E62" s="515"/>
      <c r="F62" s="166"/>
      <c r="G62" s="432">
        <v>17551909</v>
      </c>
      <c r="H62" s="433">
        <v>5100000</v>
      </c>
      <c r="I62" s="434" t="e">
        <f>SUM(#REF!)</f>
        <v>#REF!</v>
      </c>
      <c r="J62" s="434" t="e">
        <f>SUM(#REF!)</f>
        <v>#REF!</v>
      </c>
      <c r="K62" s="434"/>
      <c r="L62" s="434">
        <f>L63+L64</f>
        <v>585000</v>
      </c>
      <c r="M62" s="435">
        <f t="shared" si="3"/>
        <v>5685000</v>
      </c>
      <c r="N62" s="431">
        <f>5000000+102000</f>
        <v>5102000</v>
      </c>
      <c r="O62" s="431">
        <f>100000+O63+O64</f>
        <v>583000</v>
      </c>
      <c r="P62" s="431"/>
      <c r="Q62" s="297"/>
    </row>
    <row r="63" spans="1:17" s="324" customFormat="1" ht="31.5" customHeight="1">
      <c r="A63" s="298"/>
      <c r="B63" s="381"/>
      <c r="C63" s="445" t="s">
        <v>231</v>
      </c>
      <c r="D63" s="446" t="s">
        <v>232</v>
      </c>
      <c r="E63" s="447"/>
      <c r="F63" s="448"/>
      <c r="G63" s="449"/>
      <c r="H63" s="450"/>
      <c r="I63" s="451"/>
      <c r="J63" s="452"/>
      <c r="K63" s="452"/>
      <c r="L63" s="452">
        <v>480000</v>
      </c>
      <c r="M63" s="453">
        <f t="shared" si="3"/>
        <v>480000</v>
      </c>
      <c r="N63" s="452">
        <v>102000</v>
      </c>
      <c r="O63" s="452">
        <v>378000</v>
      </c>
      <c r="P63" s="452"/>
      <c r="Q63" s="297"/>
    </row>
    <row r="64" spans="1:17" s="324" customFormat="1" ht="30" customHeight="1">
      <c r="A64" s="298"/>
      <c r="B64" s="298"/>
      <c r="C64" s="520" t="s">
        <v>233</v>
      </c>
      <c r="D64" s="521" t="s">
        <v>234</v>
      </c>
      <c r="E64" s="522"/>
      <c r="F64" s="523"/>
      <c r="G64" s="524"/>
      <c r="H64" s="470"/>
      <c r="I64" s="519"/>
      <c r="J64" s="516"/>
      <c r="K64" s="516"/>
      <c r="L64" s="516">
        <v>105000</v>
      </c>
      <c r="M64" s="471">
        <f t="shared" si="3"/>
        <v>105000</v>
      </c>
      <c r="N64" s="516"/>
      <c r="O64" s="516">
        <v>105000</v>
      </c>
      <c r="P64" s="516"/>
      <c r="Q64" s="297"/>
    </row>
    <row r="65" spans="1:17" s="315" customFormat="1" ht="24.75" customHeight="1" thickBot="1">
      <c r="A65" s="525"/>
      <c r="B65" s="525"/>
      <c r="C65" s="308" t="s">
        <v>140</v>
      </c>
      <c r="D65" s="526"/>
      <c r="E65" s="310"/>
      <c r="F65" s="308"/>
      <c r="G65" s="527"/>
      <c r="H65" s="528">
        <v>16000</v>
      </c>
      <c r="I65" s="313"/>
      <c r="J65" s="529"/>
      <c r="K65" s="308" t="e">
        <f>#REF!+#REF!</f>
        <v>#REF!</v>
      </c>
      <c r="L65" s="308"/>
      <c r="M65" s="530">
        <f t="shared" si="3"/>
        <v>16000</v>
      </c>
      <c r="N65" s="308"/>
      <c r="O65" s="529"/>
      <c r="P65" s="308">
        <v>16000</v>
      </c>
      <c r="Q65" s="297"/>
    </row>
    <row r="66" ht="13.5" thickTop="1">
      <c r="D66" s="531"/>
    </row>
    <row r="67" ht="12.75">
      <c r="D67" s="531"/>
    </row>
    <row r="68" spans="4:14" ht="12.75">
      <c r="D68" s="531"/>
      <c r="N68" s="2" t="s">
        <v>347</v>
      </c>
    </row>
    <row r="69" spans="4:14" ht="12.75">
      <c r="D69" s="531"/>
      <c r="N69" s="4" t="s">
        <v>346</v>
      </c>
    </row>
    <row r="70" spans="4:14" ht="12.75">
      <c r="D70" s="531"/>
      <c r="N70" s="4" t="s">
        <v>348</v>
      </c>
    </row>
    <row r="71" ht="12.75">
      <c r="D71" s="531"/>
    </row>
    <row r="72" ht="12.75">
      <c r="D72" s="531"/>
    </row>
    <row r="73" ht="12.75">
      <c r="D73" s="531"/>
    </row>
    <row r="74" ht="12.75">
      <c r="D74" s="531"/>
    </row>
    <row r="75" ht="12.75">
      <c r="D75" s="531"/>
    </row>
    <row r="76" ht="12.75">
      <c r="D76" s="531"/>
    </row>
    <row r="77" ht="12.75">
      <c r="D77" s="531"/>
    </row>
    <row r="78" ht="12.75">
      <c r="D78" s="531"/>
    </row>
    <row r="79" ht="12.75">
      <c r="D79" s="531"/>
    </row>
    <row r="80" ht="12.75">
      <c r="D80" s="531"/>
    </row>
    <row r="81" ht="12.75">
      <c r="D81" s="531"/>
    </row>
    <row r="82" ht="12.75">
      <c r="D82" s="531"/>
    </row>
    <row r="83" ht="12.75">
      <c r="D83" s="531"/>
    </row>
    <row r="84" ht="12.75">
      <c r="D84" s="531"/>
    </row>
    <row r="85" ht="12.75">
      <c r="D85" s="531"/>
    </row>
    <row r="86" ht="12.75">
      <c r="D86" s="531"/>
    </row>
    <row r="87" ht="12.75">
      <c r="D87" s="531"/>
    </row>
    <row r="88" ht="12.75">
      <c r="D88" s="531"/>
    </row>
    <row r="89" ht="12.75">
      <c r="D89" s="531"/>
    </row>
    <row r="90" ht="12.75">
      <c r="D90" s="531"/>
    </row>
    <row r="91" ht="12.75">
      <c r="D91" s="531"/>
    </row>
    <row r="92" ht="12.75">
      <c r="D92" s="531"/>
    </row>
    <row r="93" ht="12.75">
      <c r="D93" s="531"/>
    </row>
    <row r="94" ht="12.75">
      <c r="D94" s="531"/>
    </row>
    <row r="95" ht="12.75">
      <c r="D95" s="531"/>
    </row>
    <row r="96" ht="12.75">
      <c r="D96" s="531"/>
    </row>
    <row r="97" ht="12.75">
      <c r="D97" s="531"/>
    </row>
    <row r="98" ht="12.75">
      <c r="D98" s="531"/>
    </row>
    <row r="99" ht="12.75">
      <c r="D99" s="531"/>
    </row>
  </sheetData>
  <printOptions horizontalCentered="1"/>
  <pageMargins left="0.5905511811023623" right="0.5905511811023623" top="0.43" bottom="0.53" header="0.43" footer="0.39"/>
  <pageSetup firstPageNumber="11" useFirstPageNumber="1" horizontalDpi="300" verticalDpi="300" orientation="landscape" paperSize="9" scale="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F28" sqref="F28:F30"/>
    </sheetView>
  </sheetViews>
  <sheetFormatPr defaultColWidth="9.00390625" defaultRowHeight="12.75"/>
  <cols>
    <col min="1" max="1" width="6.00390625" style="153" customWidth="1"/>
    <col min="2" max="2" width="8.625" style="153" customWidth="1"/>
    <col min="3" max="3" width="50.625" style="153" customWidth="1"/>
    <col min="4" max="4" width="33.375" style="532" customWidth="1"/>
    <col min="5" max="5" width="16.625" style="153" customWidth="1"/>
    <col min="6" max="6" width="19.25390625" style="153" customWidth="1"/>
    <col min="7" max="7" width="16.375" style="153" customWidth="1"/>
    <col min="8" max="8" width="19.25390625" style="153" customWidth="1"/>
    <col min="9" max="16384" width="7.875" style="153" customWidth="1"/>
  </cols>
  <sheetData>
    <row r="1" spans="5:7" ht="12" customHeight="1">
      <c r="E1" s="231"/>
      <c r="G1" s="231" t="s">
        <v>235</v>
      </c>
    </row>
    <row r="2" spans="5:7" ht="13.5" customHeight="1">
      <c r="E2" s="231"/>
      <c r="G2" s="231" t="s">
        <v>2</v>
      </c>
    </row>
    <row r="3" ht="18" customHeight="1">
      <c r="C3" s="245" t="s">
        <v>236</v>
      </c>
    </row>
    <row r="4" spans="6:8" ht="12.75" customHeight="1" thickBot="1">
      <c r="F4" s="220"/>
      <c r="G4" s="220"/>
      <c r="H4" s="220" t="s">
        <v>4</v>
      </c>
    </row>
    <row r="5" spans="1:8" ht="10.5" customHeight="1" thickTop="1">
      <c r="A5" s="533"/>
      <c r="B5" s="533"/>
      <c r="C5" s="534"/>
      <c r="D5" s="534"/>
      <c r="E5" s="535"/>
      <c r="F5" s="535"/>
      <c r="G5" s="535"/>
      <c r="H5" s="535"/>
    </row>
    <row r="6" spans="1:8" ht="32.25" customHeight="1" thickBot="1">
      <c r="A6" s="536" t="s">
        <v>9</v>
      </c>
      <c r="B6" s="536" t="s">
        <v>63</v>
      </c>
      <c r="C6" s="537" t="s">
        <v>237</v>
      </c>
      <c r="D6" s="537" t="s">
        <v>165</v>
      </c>
      <c r="E6" s="538" t="s">
        <v>238</v>
      </c>
      <c r="F6" s="538" t="s">
        <v>239</v>
      </c>
      <c r="G6" s="538" t="s">
        <v>7</v>
      </c>
      <c r="H6" s="538" t="s">
        <v>240</v>
      </c>
    </row>
    <row r="7" spans="1:8" ht="14.25" thickBot="1" thickTop="1">
      <c r="A7" s="147">
        <v>1</v>
      </c>
      <c r="B7" s="147">
        <v>2</v>
      </c>
      <c r="C7" s="147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</row>
    <row r="8" spans="1:8" ht="27.75" customHeight="1" thickBot="1" thickTop="1">
      <c r="A8" s="227"/>
      <c r="B8" s="227"/>
      <c r="C8" s="539" t="s">
        <v>241</v>
      </c>
      <c r="D8" s="540"/>
      <c r="E8" s="541"/>
      <c r="F8" s="542">
        <v>10068000</v>
      </c>
      <c r="G8" s="542">
        <f>G10+G25</f>
        <v>818000</v>
      </c>
      <c r="H8" s="542">
        <f>G8+F8</f>
        <v>10886000</v>
      </c>
    </row>
    <row r="9" spans="1:8" ht="12" customHeight="1">
      <c r="A9" s="543"/>
      <c r="B9" s="543"/>
      <c r="C9" s="544" t="s">
        <v>13</v>
      </c>
      <c r="D9" s="545"/>
      <c r="E9" s="103"/>
      <c r="F9" s="546"/>
      <c r="G9" s="546"/>
      <c r="H9" s="546"/>
    </row>
    <row r="10" spans="1:8" s="246" customFormat="1" ht="21.75" customHeight="1" thickBot="1">
      <c r="A10" s="547"/>
      <c r="B10" s="547"/>
      <c r="C10" s="548" t="s">
        <v>242</v>
      </c>
      <c r="D10" s="549"/>
      <c r="E10" s="550"/>
      <c r="F10" s="551">
        <v>9898000</v>
      </c>
      <c r="G10" s="551">
        <f>G11+G17+G22</f>
        <v>818000</v>
      </c>
      <c r="H10" s="551">
        <f aca="true" t="shared" si="0" ref="H10:H25">G10+F10</f>
        <v>10716000</v>
      </c>
    </row>
    <row r="11" spans="1:8" ht="19.5" customHeight="1" thickTop="1">
      <c r="A11" s="69">
        <v>700</v>
      </c>
      <c r="B11" s="69"/>
      <c r="C11" s="41" t="s">
        <v>45</v>
      </c>
      <c r="D11" s="552"/>
      <c r="E11" s="553"/>
      <c r="F11" s="554">
        <v>4100000</v>
      </c>
      <c r="G11" s="554">
        <f>G12+G15</f>
        <v>80000</v>
      </c>
      <c r="H11" s="554">
        <f t="shared" si="0"/>
        <v>4180000</v>
      </c>
    </row>
    <row r="12" spans="1:8" ht="19.5" customHeight="1">
      <c r="A12" s="555"/>
      <c r="B12" s="556">
        <v>70001</v>
      </c>
      <c r="C12" s="557" t="s">
        <v>81</v>
      </c>
      <c r="D12" s="558"/>
      <c r="E12" s="559"/>
      <c r="F12" s="560">
        <v>4000000</v>
      </c>
      <c r="G12" s="560">
        <f>G13+G14</f>
        <v>0</v>
      </c>
      <c r="H12" s="560">
        <f t="shared" si="0"/>
        <v>4000000</v>
      </c>
    </row>
    <row r="13" spans="1:8" ht="26.25" customHeight="1">
      <c r="A13" s="561"/>
      <c r="B13" s="84"/>
      <c r="C13" s="562" t="s">
        <v>243</v>
      </c>
      <c r="D13" s="563"/>
      <c r="E13" s="564">
        <v>2004</v>
      </c>
      <c r="F13" s="565">
        <v>100000</v>
      </c>
      <c r="G13" s="565">
        <v>-70000</v>
      </c>
      <c r="H13" s="565">
        <f t="shared" si="0"/>
        <v>30000</v>
      </c>
    </row>
    <row r="14" spans="1:8" ht="21" customHeight="1">
      <c r="A14" s="561"/>
      <c r="B14" s="566"/>
      <c r="C14" s="116" t="s">
        <v>244</v>
      </c>
      <c r="D14" s="567"/>
      <c r="E14" s="568">
        <v>2004</v>
      </c>
      <c r="F14" s="569"/>
      <c r="G14" s="569">
        <v>70000</v>
      </c>
      <c r="H14" s="569">
        <f t="shared" si="0"/>
        <v>70000</v>
      </c>
    </row>
    <row r="15" spans="1:8" ht="21" customHeight="1">
      <c r="A15" s="561"/>
      <c r="B15" s="566">
        <v>70005</v>
      </c>
      <c r="C15" s="113" t="s">
        <v>17</v>
      </c>
      <c r="D15" s="567"/>
      <c r="E15" s="568"/>
      <c r="F15" s="560">
        <v>100000</v>
      </c>
      <c r="G15" s="560">
        <f>G16</f>
        <v>80000</v>
      </c>
      <c r="H15" s="560">
        <f t="shared" si="0"/>
        <v>180000</v>
      </c>
    </row>
    <row r="16" spans="1:8" ht="24">
      <c r="A16" s="570"/>
      <c r="B16" s="566"/>
      <c r="C16" s="116" t="s">
        <v>245</v>
      </c>
      <c r="D16" s="474" t="s">
        <v>246</v>
      </c>
      <c r="E16" s="571">
        <v>2004</v>
      </c>
      <c r="F16" s="569">
        <v>100000</v>
      </c>
      <c r="G16" s="569">
        <v>80000</v>
      </c>
      <c r="H16" s="569">
        <f t="shared" si="0"/>
        <v>180000</v>
      </c>
    </row>
    <row r="17" spans="1:8" ht="19.5" customHeight="1">
      <c r="A17" s="69">
        <v>801</v>
      </c>
      <c r="B17" s="69"/>
      <c r="C17" s="41" t="s">
        <v>31</v>
      </c>
      <c r="D17" s="572"/>
      <c r="E17" s="573"/>
      <c r="F17" s="554">
        <f>1413000</f>
        <v>1413000</v>
      </c>
      <c r="G17" s="554">
        <f>G18+G20</f>
        <v>700000</v>
      </c>
      <c r="H17" s="554">
        <f t="shared" si="0"/>
        <v>2113000</v>
      </c>
    </row>
    <row r="18" spans="1:8" ht="19.5" customHeight="1">
      <c r="A18" s="555"/>
      <c r="B18" s="566">
        <v>80101</v>
      </c>
      <c r="C18" s="557" t="s">
        <v>32</v>
      </c>
      <c r="D18" s="574"/>
      <c r="E18" s="575"/>
      <c r="F18" s="576">
        <f>F19</f>
        <v>490000</v>
      </c>
      <c r="G18" s="576">
        <f>G19</f>
        <v>300000</v>
      </c>
      <c r="H18" s="576">
        <f t="shared" si="0"/>
        <v>790000</v>
      </c>
    </row>
    <row r="19" spans="1:8" ht="64.5" customHeight="1">
      <c r="A19" s="561"/>
      <c r="B19" s="570"/>
      <c r="C19" s="577" t="s">
        <v>247</v>
      </c>
      <c r="D19" s="578" t="s">
        <v>248</v>
      </c>
      <c r="E19" s="579"/>
      <c r="F19" s="580">
        <v>490000</v>
      </c>
      <c r="G19" s="580">
        <f>300000</f>
        <v>300000</v>
      </c>
      <c r="H19" s="580">
        <f t="shared" si="0"/>
        <v>790000</v>
      </c>
    </row>
    <row r="20" spans="1:8" ht="18" customHeight="1">
      <c r="A20" s="561"/>
      <c r="B20" s="566">
        <v>80120</v>
      </c>
      <c r="C20" s="557" t="s">
        <v>48</v>
      </c>
      <c r="D20" s="581"/>
      <c r="E20" s="575"/>
      <c r="F20" s="576"/>
      <c r="G20" s="576">
        <f>G21</f>
        <v>400000</v>
      </c>
      <c r="H20" s="576">
        <f t="shared" si="0"/>
        <v>400000</v>
      </c>
    </row>
    <row r="21" spans="1:8" ht="51">
      <c r="A21" s="570"/>
      <c r="B21" s="570"/>
      <c r="C21" s="577" t="s">
        <v>247</v>
      </c>
      <c r="D21" s="578" t="s">
        <v>249</v>
      </c>
      <c r="E21" s="579"/>
      <c r="F21" s="580"/>
      <c r="G21" s="580">
        <v>400000</v>
      </c>
      <c r="H21" s="580">
        <f t="shared" si="0"/>
        <v>400000</v>
      </c>
    </row>
    <row r="22" spans="1:8" ht="19.5" customHeight="1">
      <c r="A22" s="69">
        <v>852</v>
      </c>
      <c r="B22" s="582"/>
      <c r="C22" s="41" t="s">
        <v>108</v>
      </c>
      <c r="D22" s="583"/>
      <c r="E22" s="573"/>
      <c r="F22" s="554">
        <f>F23</f>
        <v>35000</v>
      </c>
      <c r="G22" s="554">
        <f>G23</f>
        <v>38000</v>
      </c>
      <c r="H22" s="554">
        <f t="shared" si="0"/>
        <v>73000</v>
      </c>
    </row>
    <row r="23" spans="1:8" ht="19.5" customHeight="1">
      <c r="A23" s="584"/>
      <c r="B23" s="44">
        <v>85219</v>
      </c>
      <c r="C23" s="70" t="s">
        <v>117</v>
      </c>
      <c r="D23" s="585"/>
      <c r="E23" s="586"/>
      <c r="F23" s="107">
        <f>F24</f>
        <v>35000</v>
      </c>
      <c r="G23" s="107">
        <f>G24</f>
        <v>38000</v>
      </c>
      <c r="H23" s="107">
        <f t="shared" si="0"/>
        <v>73000</v>
      </c>
    </row>
    <row r="24" spans="1:8" ht="51">
      <c r="A24" s="561"/>
      <c r="B24" s="561"/>
      <c r="C24" s="577" t="s">
        <v>250</v>
      </c>
      <c r="D24" s="578" t="s">
        <v>251</v>
      </c>
      <c r="E24" s="579">
        <v>2004</v>
      </c>
      <c r="F24" s="580">
        <v>35000</v>
      </c>
      <c r="G24" s="580">
        <v>38000</v>
      </c>
      <c r="H24" s="580">
        <f t="shared" si="0"/>
        <v>73000</v>
      </c>
    </row>
    <row r="25" spans="1:8" s="167" customFormat="1" ht="31.5" customHeight="1" thickBot="1">
      <c r="A25" s="587"/>
      <c r="B25" s="587"/>
      <c r="C25" s="588" t="s">
        <v>140</v>
      </c>
      <c r="D25" s="589"/>
      <c r="E25" s="590"/>
      <c r="F25" s="590">
        <v>170000</v>
      </c>
      <c r="G25" s="590"/>
      <c r="H25" s="590">
        <f t="shared" si="0"/>
        <v>170000</v>
      </c>
    </row>
    <row r="26" ht="13.5" thickTop="1"/>
    <row r="27" ht="12.75"/>
    <row r="28" ht="12.75">
      <c r="F28" s="2" t="s">
        <v>347</v>
      </c>
    </row>
    <row r="29" ht="12.75">
      <c r="F29" s="4" t="s">
        <v>346</v>
      </c>
    </row>
    <row r="30" ht="12.75">
      <c r="F30" s="4" t="s">
        <v>348</v>
      </c>
    </row>
    <row r="31" ht="12.75"/>
  </sheetData>
  <printOptions horizontalCentered="1"/>
  <pageMargins left="0.51" right="0.5905511811023623" top="0.6692913385826772" bottom="0.6692913385826772" header="0.5118110236220472" footer="0.5118110236220472"/>
  <pageSetup firstPageNumber="13" useFirstPageNumber="1" horizontalDpi="600" verticalDpi="6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83"/>
  <sheetViews>
    <sheetView zoomScale="75" zoomScaleNormal="75" workbookViewId="0" topLeftCell="A1">
      <selection activeCell="L44" sqref="L44:L46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1.00390625" style="0" customWidth="1"/>
    <col min="4" max="4" width="13.125" style="0" customWidth="1"/>
    <col min="5" max="8" width="12.375" style="0" customWidth="1"/>
    <col min="9" max="9" width="19.00390625" style="0" customWidth="1"/>
    <col min="10" max="10" width="19.75390625" style="0" customWidth="1"/>
    <col min="11" max="11" width="14.00390625" style="0" customWidth="1"/>
    <col min="12" max="13" width="14.75390625" style="0" customWidth="1"/>
    <col min="14" max="14" width="14.375" style="0" customWidth="1"/>
    <col min="15" max="15" width="14.25390625" style="0" customWidth="1"/>
    <col min="16" max="16" width="10.375" style="0" bestFit="1" customWidth="1"/>
  </cols>
  <sheetData>
    <row r="1" spans="1:14" s="594" customFormat="1" ht="13.5" customHeight="1">
      <c r="A1" s="591"/>
      <c r="B1" s="592"/>
      <c r="C1" s="593"/>
      <c r="I1" s="595"/>
      <c r="J1" s="595"/>
      <c r="K1" s="596"/>
      <c r="N1" s="597" t="s">
        <v>252</v>
      </c>
    </row>
    <row r="2" spans="1:14" s="594" customFormat="1" ht="18">
      <c r="A2" s="591"/>
      <c r="B2" s="592"/>
      <c r="C2" s="598" t="s">
        <v>253</v>
      </c>
      <c r="D2" s="599"/>
      <c r="E2" s="600"/>
      <c r="F2" s="600"/>
      <c r="G2" s="600"/>
      <c r="H2" s="600"/>
      <c r="I2" s="601"/>
      <c r="J2" s="601"/>
      <c r="K2" s="596"/>
      <c r="N2" s="597" t="s">
        <v>56</v>
      </c>
    </row>
    <row r="3" spans="1:12" s="594" customFormat="1" ht="14.25" customHeight="1">
      <c r="A3" s="591"/>
      <c r="B3" s="592"/>
      <c r="C3" s="593"/>
      <c r="D3" s="599"/>
      <c r="E3" s="600"/>
      <c r="F3" s="600"/>
      <c r="G3" s="602"/>
      <c r="H3" s="602"/>
      <c r="I3" s="603"/>
      <c r="J3" s="601"/>
      <c r="K3" s="604"/>
      <c r="L3" s="604"/>
    </row>
    <row r="4" spans="1:15" s="594" customFormat="1" ht="13.5" customHeight="1" thickBot="1">
      <c r="A4" s="605"/>
      <c r="B4" s="606"/>
      <c r="C4" s="607"/>
      <c r="D4" s="608"/>
      <c r="E4" s="608"/>
      <c r="F4" s="608"/>
      <c r="G4" s="608"/>
      <c r="H4" s="608"/>
      <c r="I4" s="609"/>
      <c r="J4" s="609"/>
      <c r="K4" s="608"/>
      <c r="L4" s="608"/>
      <c r="M4" s="608"/>
      <c r="O4" s="608" t="s">
        <v>254</v>
      </c>
    </row>
    <row r="5" spans="1:39" s="599" customFormat="1" ht="30.75" customHeight="1" thickBot="1" thickTop="1">
      <c r="A5" s="610"/>
      <c r="B5" s="611"/>
      <c r="C5" s="612"/>
      <c r="D5" s="856" t="s">
        <v>255</v>
      </c>
      <c r="E5" s="858"/>
      <c r="F5" s="613"/>
      <c r="G5" s="856" t="s">
        <v>256</v>
      </c>
      <c r="H5" s="858"/>
      <c r="I5" s="614"/>
      <c r="J5" s="614"/>
      <c r="K5" s="856" t="s">
        <v>257</v>
      </c>
      <c r="L5" s="857"/>
      <c r="M5" s="615"/>
      <c r="N5" s="856" t="s">
        <v>258</v>
      </c>
      <c r="O5" s="858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4"/>
      <c r="AM5" s="594"/>
    </row>
    <row r="6" spans="1:39" s="625" customFormat="1" ht="39" customHeight="1" thickBot="1" thickTop="1">
      <c r="A6" s="616" t="s">
        <v>9</v>
      </c>
      <c r="B6" s="617" t="s">
        <v>63</v>
      </c>
      <c r="C6" s="618" t="s">
        <v>59</v>
      </c>
      <c r="D6" s="619" t="s">
        <v>259</v>
      </c>
      <c r="E6" s="620" t="s">
        <v>260</v>
      </c>
      <c r="F6" s="621" t="s">
        <v>7</v>
      </c>
      <c r="G6" s="619" t="s">
        <v>259</v>
      </c>
      <c r="H6" s="620" t="s">
        <v>260</v>
      </c>
      <c r="I6" s="622" t="s">
        <v>261</v>
      </c>
      <c r="J6" s="622" t="s">
        <v>262</v>
      </c>
      <c r="K6" s="623" t="s">
        <v>148</v>
      </c>
      <c r="L6" s="620" t="s">
        <v>263</v>
      </c>
      <c r="M6" s="624" t="s">
        <v>7</v>
      </c>
      <c r="N6" s="623" t="s">
        <v>148</v>
      </c>
      <c r="O6" s="620" t="s">
        <v>263</v>
      </c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</row>
    <row r="7" spans="1:39" s="630" customFormat="1" ht="14.25" thickBot="1" thickTop="1">
      <c r="A7" s="626">
        <v>1</v>
      </c>
      <c r="B7" s="627">
        <v>2</v>
      </c>
      <c r="C7" s="628">
        <v>3</v>
      </c>
      <c r="D7" s="626">
        <v>4</v>
      </c>
      <c r="E7" s="626">
        <v>5</v>
      </c>
      <c r="F7" s="626">
        <v>6</v>
      </c>
      <c r="G7" s="626">
        <v>7</v>
      </c>
      <c r="H7" s="626">
        <v>8</v>
      </c>
      <c r="I7" s="629">
        <v>9</v>
      </c>
      <c r="J7" s="629">
        <v>10</v>
      </c>
      <c r="K7" s="626">
        <v>11</v>
      </c>
      <c r="L7" s="626">
        <v>12</v>
      </c>
      <c r="M7" s="626">
        <v>13</v>
      </c>
      <c r="N7" s="626">
        <v>14</v>
      </c>
      <c r="O7" s="626">
        <v>15</v>
      </c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</row>
    <row r="8" spans="1:39" s="637" customFormat="1" ht="33.75" customHeight="1" thickTop="1">
      <c r="A8" s="631"/>
      <c r="B8" s="632"/>
      <c r="C8" s="633" t="s">
        <v>282</v>
      </c>
      <c r="D8" s="631">
        <v>88168980</v>
      </c>
      <c r="E8" s="631">
        <f>E9+E40</f>
        <v>10940200</v>
      </c>
      <c r="F8" s="634">
        <f>F9+F40</f>
        <v>933600</v>
      </c>
      <c r="G8" s="634">
        <f>D8+48000+F26+F27</f>
        <v>88457580</v>
      </c>
      <c r="H8" s="634">
        <f>H9+H40</f>
        <v>11585200</v>
      </c>
      <c r="I8" s="635"/>
      <c r="J8" s="636"/>
      <c r="K8" s="631">
        <v>98882180</v>
      </c>
      <c r="L8" s="634">
        <v>6234600</v>
      </c>
      <c r="M8" s="634">
        <f>M9+M40</f>
        <v>1177500</v>
      </c>
      <c r="N8" s="634">
        <f>M8+K8</f>
        <v>100059680</v>
      </c>
      <c r="O8" s="634">
        <f>L8+O19-L19</f>
        <v>6276888</v>
      </c>
      <c r="P8" s="60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</row>
    <row r="9" spans="1:39" s="642" customFormat="1" ht="21.75" customHeight="1" thickBot="1">
      <c r="A9" s="638"/>
      <c r="B9" s="639"/>
      <c r="C9" s="640" t="s">
        <v>264</v>
      </c>
      <c r="D9" s="638">
        <v>87638980</v>
      </c>
      <c r="E9" s="638">
        <f>E10+E26+E27</f>
        <v>10940200</v>
      </c>
      <c r="F9" s="638">
        <f>F10+F26+F27</f>
        <v>933600</v>
      </c>
      <c r="G9" s="638">
        <f>D9+48000+F26+F27</f>
        <v>87927580</v>
      </c>
      <c r="H9" s="638">
        <f>H10+H26</f>
        <v>11585200</v>
      </c>
      <c r="I9" s="641"/>
      <c r="J9" s="641"/>
      <c r="K9" s="638">
        <v>98352180</v>
      </c>
      <c r="L9" s="638">
        <v>6234600</v>
      </c>
      <c r="M9" s="638">
        <f>M10+M26+M27</f>
        <v>1177500</v>
      </c>
      <c r="N9" s="638">
        <f>M9+K9</f>
        <v>99529680</v>
      </c>
      <c r="O9" s="638">
        <f>L9+O19-L19</f>
        <v>6276888</v>
      </c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</row>
    <row r="10" spans="1:39" s="648" customFormat="1" ht="19.5" customHeight="1" thickTop="1">
      <c r="A10" s="643"/>
      <c r="B10" s="644"/>
      <c r="C10" s="645" t="s">
        <v>265</v>
      </c>
      <c r="D10" s="643">
        <f>SUM(D11:D19)</f>
        <v>70561380</v>
      </c>
      <c r="E10" s="643">
        <v>10800000</v>
      </c>
      <c r="F10" s="643">
        <f>F11+F15+F19</f>
        <v>693000</v>
      </c>
      <c r="G10" s="643">
        <f>D10+48000</f>
        <v>70609380</v>
      </c>
      <c r="H10" s="643">
        <f>H11+H15+H19</f>
        <v>11445000</v>
      </c>
      <c r="I10" s="646"/>
      <c r="J10" s="647"/>
      <c r="K10" s="643">
        <f>SUM(K11:K19)</f>
        <v>81137380</v>
      </c>
      <c r="L10" s="643">
        <f>SUM(L11:L19)</f>
        <v>5422400</v>
      </c>
      <c r="M10" s="643">
        <f>M11+M15+M19</f>
        <v>693000</v>
      </c>
      <c r="N10" s="643">
        <f>M10+K10</f>
        <v>81830380</v>
      </c>
      <c r="O10" s="643">
        <f>L10+O19-L19</f>
        <v>5464688</v>
      </c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</row>
    <row r="11" spans="1:15" s="594" customFormat="1" ht="30" customHeight="1">
      <c r="A11" s="649">
        <v>630</v>
      </c>
      <c r="B11" s="650">
        <v>63001</v>
      </c>
      <c r="C11" s="651" t="s">
        <v>266</v>
      </c>
      <c r="D11" s="652">
        <v>233180</v>
      </c>
      <c r="E11" s="649">
        <v>150000</v>
      </c>
      <c r="F11" s="649">
        <v>10000</v>
      </c>
      <c r="G11" s="649">
        <f>D11</f>
        <v>233180</v>
      </c>
      <c r="H11" s="649">
        <f>F11+E11</f>
        <v>160000</v>
      </c>
      <c r="I11" s="653"/>
      <c r="J11" s="653"/>
      <c r="K11" s="654">
        <v>383180</v>
      </c>
      <c r="L11" s="654">
        <v>159100</v>
      </c>
      <c r="M11" s="654">
        <v>10000</v>
      </c>
      <c r="N11" s="654">
        <f>M11+K11</f>
        <v>393180</v>
      </c>
      <c r="O11" s="654">
        <v>159100</v>
      </c>
    </row>
    <row r="12" spans="1:15" s="594" customFormat="1" ht="11.25" customHeight="1">
      <c r="A12" s="655"/>
      <c r="B12" s="656"/>
      <c r="C12" s="657"/>
      <c r="D12" s="658"/>
      <c r="E12" s="655"/>
      <c r="F12" s="655"/>
      <c r="G12" s="655"/>
      <c r="H12" s="655" t="s">
        <v>13</v>
      </c>
      <c r="I12" s="659"/>
      <c r="J12" s="659"/>
      <c r="K12" s="660"/>
      <c r="L12" s="660"/>
      <c r="M12" s="660"/>
      <c r="N12" s="660"/>
      <c r="O12" s="660"/>
    </row>
    <row r="13" spans="1:15" s="594" customFormat="1" ht="38.25">
      <c r="A13" s="655"/>
      <c r="B13" s="656"/>
      <c r="C13" s="657"/>
      <c r="D13" s="658"/>
      <c r="E13" s="655"/>
      <c r="F13" s="655"/>
      <c r="G13" s="655"/>
      <c r="H13" s="661">
        <f>150000-2000</f>
        <v>148000</v>
      </c>
      <c r="I13" s="662" t="s">
        <v>267</v>
      </c>
      <c r="J13" s="662" t="s">
        <v>283</v>
      </c>
      <c r="K13" s="660"/>
      <c r="L13" s="660"/>
      <c r="M13" s="660"/>
      <c r="N13" s="660"/>
      <c r="O13" s="660"/>
    </row>
    <row r="14" spans="1:15" s="594" customFormat="1" ht="25.5">
      <c r="A14" s="655"/>
      <c r="B14" s="656"/>
      <c r="C14" s="657"/>
      <c r="D14" s="658"/>
      <c r="E14" s="655"/>
      <c r="F14" s="655"/>
      <c r="G14" s="655"/>
      <c r="H14" s="655">
        <v>12000</v>
      </c>
      <c r="I14" s="663"/>
      <c r="J14" s="664" t="s">
        <v>195</v>
      </c>
      <c r="K14" s="660"/>
      <c r="L14" s="660"/>
      <c r="M14" s="660"/>
      <c r="N14" s="660"/>
      <c r="O14" s="660"/>
    </row>
    <row r="15" spans="1:15" s="594" customFormat="1" ht="25.5" customHeight="1">
      <c r="A15" s="665">
        <v>700</v>
      </c>
      <c r="B15" s="666">
        <v>70001</v>
      </c>
      <c r="C15" s="667" t="s">
        <v>268</v>
      </c>
      <c r="D15" s="665">
        <v>66472000</v>
      </c>
      <c r="E15" s="665">
        <f>E17+E18</f>
        <v>4300000</v>
      </c>
      <c r="F15" s="665">
        <f>F17+F18</f>
        <v>50000</v>
      </c>
      <c r="G15" s="665">
        <f>D15</f>
        <v>66472000</v>
      </c>
      <c r="H15" s="665">
        <f>F15+E15</f>
        <v>4350000</v>
      </c>
      <c r="I15" s="668"/>
      <c r="J15" s="668"/>
      <c r="K15" s="669">
        <v>70698000</v>
      </c>
      <c r="L15" s="669">
        <v>3120000</v>
      </c>
      <c r="M15" s="669">
        <v>50000</v>
      </c>
      <c r="N15" s="669">
        <f>M15+K15</f>
        <v>70748000</v>
      </c>
      <c r="O15" s="669">
        <v>3120000</v>
      </c>
    </row>
    <row r="16" spans="1:15" s="594" customFormat="1" ht="11.25" customHeight="1">
      <c r="A16" s="655"/>
      <c r="B16" s="656"/>
      <c r="C16" s="657"/>
      <c r="D16" s="655"/>
      <c r="E16" s="655" t="s">
        <v>13</v>
      </c>
      <c r="F16" s="655"/>
      <c r="G16" s="655"/>
      <c r="H16" s="655" t="s">
        <v>13</v>
      </c>
      <c r="I16" s="663"/>
      <c r="J16" s="663"/>
      <c r="K16" s="660"/>
      <c r="L16" s="660"/>
      <c r="M16" s="660"/>
      <c r="N16" s="660"/>
      <c r="O16" s="660"/>
    </row>
    <row r="17" spans="1:15" s="594" customFormat="1" ht="51">
      <c r="A17" s="655"/>
      <c r="B17" s="656"/>
      <c r="C17" s="657"/>
      <c r="D17" s="655"/>
      <c r="E17" s="661">
        <v>4000000</v>
      </c>
      <c r="F17" s="661"/>
      <c r="G17" s="661"/>
      <c r="H17" s="661">
        <f>F17+E17</f>
        <v>4000000</v>
      </c>
      <c r="I17" s="662" t="s">
        <v>269</v>
      </c>
      <c r="J17" s="662" t="s">
        <v>270</v>
      </c>
      <c r="K17" s="660"/>
      <c r="L17" s="660"/>
      <c r="M17" s="660"/>
      <c r="N17" s="660"/>
      <c r="O17" s="660"/>
    </row>
    <row r="18" spans="1:15" s="594" customFormat="1" ht="25.5">
      <c r="A18" s="670"/>
      <c r="B18" s="671"/>
      <c r="C18" s="672"/>
      <c r="D18" s="670"/>
      <c r="E18" s="670">
        <v>300000</v>
      </c>
      <c r="F18" s="670">
        <v>50000</v>
      </c>
      <c r="G18" s="670"/>
      <c r="H18" s="670">
        <f>F18+E18</f>
        <v>350000</v>
      </c>
      <c r="I18" s="673"/>
      <c r="J18" s="674" t="s">
        <v>196</v>
      </c>
      <c r="K18" s="670"/>
      <c r="L18" s="670"/>
      <c r="M18" s="670"/>
      <c r="N18" s="670"/>
      <c r="O18" s="670"/>
    </row>
    <row r="19" spans="1:16" s="594" customFormat="1" ht="27" customHeight="1">
      <c r="A19" s="675">
        <v>926</v>
      </c>
      <c r="B19" s="676">
        <v>92604</v>
      </c>
      <c r="C19" s="677" t="s">
        <v>271</v>
      </c>
      <c r="D19" s="678">
        <v>3856200</v>
      </c>
      <c r="E19" s="679">
        <v>6350000</v>
      </c>
      <c r="F19" s="679">
        <f>F24+F25+48000</f>
        <v>633000</v>
      </c>
      <c r="G19" s="679">
        <f>D19+48000</f>
        <v>3904200</v>
      </c>
      <c r="H19" s="679">
        <f>E19+F24+F25</f>
        <v>6935000</v>
      </c>
      <c r="I19" s="668"/>
      <c r="J19" s="668"/>
      <c r="K19" s="675">
        <v>10056200</v>
      </c>
      <c r="L19" s="680">
        <v>2143300</v>
      </c>
      <c r="M19" s="680">
        <f>48000+378000+105000+102000</f>
        <v>633000</v>
      </c>
      <c r="N19" s="675">
        <f>M19+K19</f>
        <v>10689200</v>
      </c>
      <c r="O19" s="680">
        <f>2185588</f>
        <v>2185588</v>
      </c>
      <c r="P19" s="681">
        <f>O19-L19</f>
        <v>42288</v>
      </c>
    </row>
    <row r="20" spans="1:15" s="594" customFormat="1" ht="13.5" customHeight="1">
      <c r="A20" s="682"/>
      <c r="B20" s="683"/>
      <c r="C20" s="684" t="s">
        <v>0</v>
      </c>
      <c r="D20" s="685"/>
      <c r="E20" s="686" t="s">
        <v>13</v>
      </c>
      <c r="F20" s="686"/>
      <c r="G20" s="686"/>
      <c r="H20" s="686" t="s">
        <v>13</v>
      </c>
      <c r="I20" s="663"/>
      <c r="J20" s="663"/>
      <c r="K20" s="682"/>
      <c r="L20" s="687"/>
      <c r="M20" s="687"/>
      <c r="N20" s="682"/>
      <c r="O20" s="687"/>
    </row>
    <row r="21" spans="1:15" s="594" customFormat="1" ht="78">
      <c r="A21" s="682"/>
      <c r="B21" s="683"/>
      <c r="C21" s="684"/>
      <c r="D21" s="685"/>
      <c r="E21" s="688">
        <v>1250000</v>
      </c>
      <c r="F21" s="688"/>
      <c r="G21" s="688"/>
      <c r="H21" s="688">
        <f>F21+E21</f>
        <v>1250000</v>
      </c>
      <c r="I21" s="663" t="s">
        <v>284</v>
      </c>
      <c r="J21" s="663" t="s">
        <v>272</v>
      </c>
      <c r="K21" s="682"/>
      <c r="L21" s="687"/>
      <c r="M21" s="687"/>
      <c r="N21" s="682"/>
      <c r="O21" s="687"/>
    </row>
    <row r="22" spans="1:15" s="594" customFormat="1" ht="39.75">
      <c r="A22" s="682"/>
      <c r="B22" s="683"/>
      <c r="C22" s="684"/>
      <c r="D22" s="685"/>
      <c r="E22" s="688"/>
      <c r="F22" s="688"/>
      <c r="G22" s="688"/>
      <c r="H22" s="688"/>
      <c r="I22" s="663" t="s">
        <v>285</v>
      </c>
      <c r="J22" s="663" t="s">
        <v>273</v>
      </c>
      <c r="K22" s="682"/>
      <c r="L22" s="687"/>
      <c r="M22" s="687"/>
      <c r="N22" s="682"/>
      <c r="O22" s="687"/>
    </row>
    <row r="23" spans="1:15" s="594" customFormat="1" ht="102">
      <c r="A23" s="682"/>
      <c r="B23" s="683"/>
      <c r="C23" s="684"/>
      <c r="D23" s="682"/>
      <c r="E23" s="689">
        <v>5100000</v>
      </c>
      <c r="F23" s="689"/>
      <c r="G23" s="689"/>
      <c r="H23" s="689">
        <f>F23+E23</f>
        <v>5100000</v>
      </c>
      <c r="I23" s="690"/>
      <c r="J23" s="691" t="s">
        <v>274</v>
      </c>
      <c r="K23" s="692"/>
      <c r="L23" s="693"/>
      <c r="M23" s="693"/>
      <c r="N23" s="692"/>
      <c r="O23" s="693"/>
    </row>
    <row r="24" spans="1:15" s="594" customFormat="1" ht="38.25">
      <c r="A24" s="682"/>
      <c r="B24" s="683"/>
      <c r="C24" s="684"/>
      <c r="D24" s="685"/>
      <c r="E24" s="689"/>
      <c r="F24" s="689">
        <v>105000</v>
      </c>
      <c r="G24" s="689"/>
      <c r="H24" s="689">
        <f>F24</f>
        <v>105000</v>
      </c>
      <c r="I24" s="690"/>
      <c r="J24" s="691" t="s">
        <v>233</v>
      </c>
      <c r="K24" s="694"/>
      <c r="L24" s="695"/>
      <c r="M24" s="695"/>
      <c r="N24" s="694"/>
      <c r="O24" s="695"/>
    </row>
    <row r="25" spans="1:15" s="594" customFormat="1" ht="38.25">
      <c r="A25" s="682"/>
      <c r="B25" s="696"/>
      <c r="C25" s="697"/>
      <c r="D25" s="698"/>
      <c r="E25" s="699"/>
      <c r="F25" s="699">
        <f>480000</f>
        <v>480000</v>
      </c>
      <c r="G25" s="699"/>
      <c r="H25" s="699">
        <f>F25</f>
        <v>480000</v>
      </c>
      <c r="I25" s="700"/>
      <c r="J25" s="701" t="s">
        <v>275</v>
      </c>
      <c r="K25" s="702"/>
      <c r="L25" s="703"/>
      <c r="M25" s="703"/>
      <c r="N25" s="702"/>
      <c r="O25" s="703"/>
    </row>
    <row r="26" spans="1:39" s="706" customFormat="1" ht="26.25" customHeight="1">
      <c r="A26" s="643"/>
      <c r="B26" s="644"/>
      <c r="C26" s="704" t="s">
        <v>276</v>
      </c>
      <c r="D26" s="643">
        <v>2519300</v>
      </c>
      <c r="E26" s="643">
        <v>140200</v>
      </c>
      <c r="F26" s="643"/>
      <c r="G26" s="643">
        <f>D26</f>
        <v>2519300</v>
      </c>
      <c r="H26" s="643">
        <f>E26</f>
        <v>140200</v>
      </c>
      <c r="I26" s="705"/>
      <c r="J26" s="705"/>
      <c r="K26" s="643">
        <v>2659500</v>
      </c>
      <c r="L26" s="643">
        <v>812200</v>
      </c>
      <c r="M26" s="643"/>
      <c r="N26" s="643">
        <f>K26</f>
        <v>2659500</v>
      </c>
      <c r="O26" s="643">
        <f>L26</f>
        <v>812200</v>
      </c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</row>
    <row r="27" spans="1:39" s="712" customFormat="1" ht="21.75" customHeight="1">
      <c r="A27" s="707"/>
      <c r="B27" s="708"/>
      <c r="C27" s="709" t="s">
        <v>277</v>
      </c>
      <c r="D27" s="710">
        <v>14558300</v>
      </c>
      <c r="E27" s="710"/>
      <c r="F27" s="710">
        <f>F28+F30+F37</f>
        <v>240600</v>
      </c>
      <c r="G27" s="710">
        <f aca="true" t="shared" si="0" ref="G27:G38">F27+D27</f>
        <v>14798900</v>
      </c>
      <c r="H27" s="710"/>
      <c r="I27" s="711"/>
      <c r="J27" s="711"/>
      <c r="K27" s="710">
        <v>14555300</v>
      </c>
      <c r="L27" s="710"/>
      <c r="M27" s="710">
        <f>M28+M30+M37</f>
        <v>484500</v>
      </c>
      <c r="N27" s="710">
        <f aca="true" t="shared" si="1" ref="N27:N38">M27+K27</f>
        <v>15039800</v>
      </c>
      <c r="O27" s="710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4"/>
      <c r="AL27" s="594"/>
      <c r="AM27" s="594"/>
    </row>
    <row r="28" spans="1:39" s="706" customFormat="1" ht="19.5" customHeight="1">
      <c r="A28" s="713">
        <v>750</v>
      </c>
      <c r="B28" s="714"/>
      <c r="C28" s="715" t="s">
        <v>22</v>
      </c>
      <c r="D28" s="713">
        <f>D29</f>
        <v>3675000</v>
      </c>
      <c r="E28" s="713"/>
      <c r="F28" s="713">
        <f>F29</f>
        <v>175000</v>
      </c>
      <c r="G28" s="713">
        <f t="shared" si="0"/>
        <v>3850000</v>
      </c>
      <c r="H28" s="713"/>
      <c r="I28" s="716"/>
      <c r="J28" s="716"/>
      <c r="K28" s="713">
        <f>K29</f>
        <v>3671900</v>
      </c>
      <c r="L28" s="713"/>
      <c r="M28" s="713">
        <f>M29</f>
        <v>418900</v>
      </c>
      <c r="N28" s="713">
        <f t="shared" si="1"/>
        <v>4090800</v>
      </c>
      <c r="O28" s="713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594"/>
      <c r="AJ28" s="594"/>
      <c r="AK28" s="594"/>
      <c r="AL28" s="594"/>
      <c r="AM28" s="594"/>
    </row>
    <row r="29" spans="1:15" s="594" customFormat="1" ht="27.75" customHeight="1">
      <c r="A29" s="717"/>
      <c r="B29" s="718">
        <v>75023</v>
      </c>
      <c r="C29" s="719" t="s">
        <v>23</v>
      </c>
      <c r="D29" s="717">
        <f>3600000+75000</f>
        <v>3675000</v>
      </c>
      <c r="E29" s="717"/>
      <c r="F29" s="717">
        <f>250000-75000</f>
        <v>175000</v>
      </c>
      <c r="G29" s="717">
        <f t="shared" si="0"/>
        <v>3850000</v>
      </c>
      <c r="H29" s="717"/>
      <c r="I29" s="720"/>
      <c r="J29" s="720"/>
      <c r="K29" s="721">
        <f>3600000+71900</f>
        <v>3671900</v>
      </c>
      <c r="L29" s="717"/>
      <c r="M29" s="717">
        <f>490800-71900</f>
        <v>418900</v>
      </c>
      <c r="N29" s="721">
        <f t="shared" si="1"/>
        <v>4090800</v>
      </c>
      <c r="O29" s="717"/>
    </row>
    <row r="30" spans="1:39" s="712" customFormat="1" ht="18" customHeight="1">
      <c r="A30" s="713">
        <v>801</v>
      </c>
      <c r="B30" s="714"/>
      <c r="C30" s="715" t="s">
        <v>31</v>
      </c>
      <c r="D30" s="713">
        <v>5874100</v>
      </c>
      <c r="E30" s="713"/>
      <c r="F30" s="713">
        <f>SUM(F31:F36)</f>
        <v>27100</v>
      </c>
      <c r="G30" s="713">
        <f t="shared" si="0"/>
        <v>5901200</v>
      </c>
      <c r="H30" s="713"/>
      <c r="I30" s="716"/>
      <c r="J30" s="716"/>
      <c r="K30" s="713">
        <v>5874100</v>
      </c>
      <c r="L30" s="713"/>
      <c r="M30" s="713">
        <f>SUM(M31:M36)</f>
        <v>27100</v>
      </c>
      <c r="N30" s="713">
        <f t="shared" si="1"/>
        <v>5901200</v>
      </c>
      <c r="O30" s="713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594"/>
      <c r="AJ30" s="594"/>
      <c r="AK30" s="594"/>
      <c r="AL30" s="594"/>
      <c r="AM30" s="594"/>
    </row>
    <row r="31" spans="1:15" s="594" customFormat="1" ht="19.5" customHeight="1">
      <c r="A31" s="722"/>
      <c r="B31" s="723">
        <v>80101</v>
      </c>
      <c r="C31" s="724" t="s">
        <v>32</v>
      </c>
      <c r="D31" s="649">
        <f>126499+539880+21</f>
        <v>666400</v>
      </c>
      <c r="E31" s="649"/>
      <c r="F31" s="649">
        <v>1000</v>
      </c>
      <c r="G31" s="649">
        <f t="shared" si="0"/>
        <v>667400</v>
      </c>
      <c r="H31" s="649"/>
      <c r="I31" s="725"/>
      <c r="J31" s="725"/>
      <c r="K31" s="654">
        <f>126499+539880+21</f>
        <v>666400</v>
      </c>
      <c r="L31" s="649"/>
      <c r="M31" s="649">
        <v>1000</v>
      </c>
      <c r="N31" s="654">
        <f t="shared" si="1"/>
        <v>667400</v>
      </c>
      <c r="O31" s="649"/>
    </row>
    <row r="32" spans="1:15" s="594" customFormat="1" ht="19.5" customHeight="1">
      <c r="A32" s="655"/>
      <c r="B32" s="671">
        <v>80110</v>
      </c>
      <c r="C32" s="726" t="s">
        <v>34</v>
      </c>
      <c r="D32" s="670">
        <f>48800+343800</f>
        <v>392600</v>
      </c>
      <c r="E32" s="670"/>
      <c r="F32" s="670">
        <v>2000</v>
      </c>
      <c r="G32" s="670">
        <f t="shared" si="0"/>
        <v>394600</v>
      </c>
      <c r="H32" s="670"/>
      <c r="I32" s="673"/>
      <c r="J32" s="673"/>
      <c r="K32" s="727">
        <f>48800+343800</f>
        <v>392600</v>
      </c>
      <c r="L32" s="670"/>
      <c r="M32" s="670">
        <v>2000</v>
      </c>
      <c r="N32" s="727">
        <f t="shared" si="1"/>
        <v>394600</v>
      </c>
      <c r="O32" s="670"/>
    </row>
    <row r="33" spans="1:15" s="594" customFormat="1" ht="19.5" customHeight="1">
      <c r="A33" s="655"/>
      <c r="B33" s="728">
        <v>80120</v>
      </c>
      <c r="C33" s="729" t="s">
        <v>48</v>
      </c>
      <c r="D33" s="730">
        <f>3610+186460+30</f>
        <v>190100</v>
      </c>
      <c r="E33" s="730"/>
      <c r="F33" s="730">
        <v>2400</v>
      </c>
      <c r="G33" s="670">
        <f t="shared" si="0"/>
        <v>192500</v>
      </c>
      <c r="H33" s="730"/>
      <c r="I33" s="731"/>
      <c r="J33" s="731"/>
      <c r="K33" s="730">
        <f>3610+186460+30</f>
        <v>190100</v>
      </c>
      <c r="L33" s="730"/>
      <c r="M33" s="730">
        <v>2400</v>
      </c>
      <c r="N33" s="727">
        <f t="shared" si="1"/>
        <v>192500</v>
      </c>
      <c r="O33" s="730"/>
    </row>
    <row r="34" spans="1:15" s="594" customFormat="1" ht="19.5" customHeight="1">
      <c r="A34" s="655"/>
      <c r="B34" s="671">
        <v>80130</v>
      </c>
      <c r="C34" s="726" t="s">
        <v>49</v>
      </c>
      <c r="D34" s="670">
        <f>213530+453600+70</f>
        <v>667200</v>
      </c>
      <c r="E34" s="670"/>
      <c r="F34" s="670">
        <v>4000</v>
      </c>
      <c r="G34" s="670">
        <f t="shared" si="0"/>
        <v>671200</v>
      </c>
      <c r="H34" s="670"/>
      <c r="I34" s="673"/>
      <c r="J34" s="673"/>
      <c r="K34" s="727">
        <f>213530+453600+70</f>
        <v>667200</v>
      </c>
      <c r="L34" s="670"/>
      <c r="M34" s="670">
        <v>4000</v>
      </c>
      <c r="N34" s="727">
        <f t="shared" si="1"/>
        <v>671200</v>
      </c>
      <c r="O34" s="670"/>
    </row>
    <row r="35" spans="1:15" s="594" customFormat="1" ht="19.5" customHeight="1">
      <c r="A35" s="655"/>
      <c r="B35" s="728">
        <v>80132</v>
      </c>
      <c r="C35" s="732" t="s">
        <v>278</v>
      </c>
      <c r="D35" s="733">
        <v>1200</v>
      </c>
      <c r="E35" s="732"/>
      <c r="F35" s="733">
        <v>17200</v>
      </c>
      <c r="G35" s="670">
        <f t="shared" si="0"/>
        <v>18400</v>
      </c>
      <c r="H35" s="732"/>
      <c r="I35" s="734"/>
      <c r="J35" s="734"/>
      <c r="K35" s="733">
        <v>1200</v>
      </c>
      <c r="L35" s="732"/>
      <c r="M35" s="733">
        <v>17200</v>
      </c>
      <c r="N35" s="727">
        <f t="shared" si="1"/>
        <v>18400</v>
      </c>
      <c r="O35" s="732"/>
    </row>
    <row r="36" spans="1:15" s="594" customFormat="1" ht="47.25" customHeight="1">
      <c r="A36" s="735"/>
      <c r="B36" s="736">
        <v>80140</v>
      </c>
      <c r="C36" s="737" t="s">
        <v>279</v>
      </c>
      <c r="D36" s="735">
        <f>542800+4000</f>
        <v>546800</v>
      </c>
      <c r="E36" s="735"/>
      <c r="F36" s="735">
        <v>500</v>
      </c>
      <c r="G36" s="738">
        <f t="shared" si="0"/>
        <v>547300</v>
      </c>
      <c r="H36" s="735"/>
      <c r="I36" s="700"/>
      <c r="J36" s="700"/>
      <c r="K36" s="739">
        <f>542800+4000</f>
        <v>546800</v>
      </c>
      <c r="L36" s="735"/>
      <c r="M36" s="735">
        <v>500</v>
      </c>
      <c r="N36" s="727">
        <f t="shared" si="1"/>
        <v>547300</v>
      </c>
      <c r="O36" s="735"/>
    </row>
    <row r="37" spans="1:15" s="706" customFormat="1" ht="19.5" customHeight="1">
      <c r="A37" s="713">
        <v>852</v>
      </c>
      <c r="B37" s="714"/>
      <c r="C37" s="740" t="s">
        <v>108</v>
      </c>
      <c r="D37" s="741">
        <v>175200</v>
      </c>
      <c r="E37" s="713"/>
      <c r="F37" s="713">
        <f>F38</f>
        <v>38500</v>
      </c>
      <c r="G37" s="713">
        <f t="shared" si="0"/>
        <v>213700</v>
      </c>
      <c r="H37" s="713"/>
      <c r="I37" s="716"/>
      <c r="J37" s="716"/>
      <c r="K37" s="742">
        <v>175200</v>
      </c>
      <c r="L37" s="743"/>
      <c r="M37" s="743">
        <f>M38</f>
        <v>38500</v>
      </c>
      <c r="N37" s="742">
        <f t="shared" si="1"/>
        <v>213700</v>
      </c>
      <c r="O37" s="743"/>
    </row>
    <row r="38" spans="1:15" s="594" customFormat="1" ht="19.5" customHeight="1">
      <c r="A38" s="655"/>
      <c r="B38" s="718">
        <v>85202</v>
      </c>
      <c r="C38" s="744" t="s">
        <v>111</v>
      </c>
      <c r="D38" s="717">
        <f>8000+1200</f>
        <v>9200</v>
      </c>
      <c r="E38" s="717"/>
      <c r="F38" s="717">
        <v>38500</v>
      </c>
      <c r="G38" s="717">
        <f t="shared" si="0"/>
        <v>47700</v>
      </c>
      <c r="H38" s="717"/>
      <c r="I38" s="720"/>
      <c r="J38" s="720"/>
      <c r="K38" s="721">
        <f>8000+1200</f>
        <v>9200</v>
      </c>
      <c r="L38" s="721"/>
      <c r="M38" s="721">
        <v>38500</v>
      </c>
      <c r="N38" s="721">
        <f t="shared" si="1"/>
        <v>47700</v>
      </c>
      <c r="O38" s="721"/>
    </row>
    <row r="39" spans="1:15" s="594" customFormat="1" ht="19.5" customHeight="1" hidden="1">
      <c r="A39" s="735"/>
      <c r="B39" s="736">
        <v>85333</v>
      </c>
      <c r="C39" s="737" t="s">
        <v>280</v>
      </c>
      <c r="D39" s="745"/>
      <c r="E39" s="735"/>
      <c r="F39" s="735"/>
      <c r="G39" s="735"/>
      <c r="H39" s="735"/>
      <c r="I39" s="700"/>
      <c r="J39" s="700"/>
      <c r="K39" s="739"/>
      <c r="L39" s="739"/>
      <c r="M39" s="739"/>
      <c r="N39" s="739"/>
      <c r="O39" s="739"/>
    </row>
    <row r="40" spans="1:15" s="594" customFormat="1" ht="52.5" customHeight="1" thickBot="1">
      <c r="A40" s="746"/>
      <c r="B40" s="747"/>
      <c r="C40" s="748" t="s">
        <v>281</v>
      </c>
      <c r="D40" s="746">
        <v>530000</v>
      </c>
      <c r="E40" s="746"/>
      <c r="F40" s="746"/>
      <c r="G40" s="746">
        <f>F40+D40</f>
        <v>530000</v>
      </c>
      <c r="H40" s="746"/>
      <c r="I40" s="749"/>
      <c r="J40" s="749"/>
      <c r="K40" s="746">
        <v>530000</v>
      </c>
      <c r="L40" s="746"/>
      <c r="M40" s="746"/>
      <c r="N40" s="746">
        <f>M40+K40</f>
        <v>530000</v>
      </c>
      <c r="O40" s="746"/>
    </row>
    <row r="41" spans="1:10" s="594" customFormat="1" ht="15" thickTop="1">
      <c r="A41" s="750"/>
      <c r="B41" s="751"/>
      <c r="C41" s="752"/>
      <c r="D41" s="753"/>
      <c r="E41" s="753"/>
      <c r="F41" s="753"/>
      <c r="G41" s="753"/>
      <c r="H41" s="753"/>
      <c r="I41" s="595"/>
      <c r="J41" s="595"/>
    </row>
    <row r="42" spans="1:10" s="594" customFormat="1" ht="14.25">
      <c r="A42" s="750"/>
      <c r="B42" s="751"/>
      <c r="C42" s="752"/>
      <c r="D42" s="753"/>
      <c r="E42" s="753"/>
      <c r="F42" s="753"/>
      <c r="G42" s="753"/>
      <c r="H42" s="753"/>
      <c r="I42" s="595"/>
      <c r="J42" s="595"/>
    </row>
    <row r="43" spans="1:10" s="594" customFormat="1" ht="14.25">
      <c r="A43" s="750"/>
      <c r="B43" s="751"/>
      <c r="C43" s="752"/>
      <c r="D43" s="753"/>
      <c r="E43" s="753"/>
      <c r="F43" s="753"/>
      <c r="G43" s="753"/>
      <c r="H43" s="753"/>
      <c r="I43" s="595"/>
      <c r="J43" s="595"/>
    </row>
    <row r="44" spans="1:12" s="594" customFormat="1" ht="14.25">
      <c r="A44" s="750"/>
      <c r="B44" s="751"/>
      <c r="C44" s="752"/>
      <c r="D44" s="753"/>
      <c r="E44" s="753"/>
      <c r="F44" s="753"/>
      <c r="G44" s="753"/>
      <c r="H44" s="753"/>
      <c r="I44" s="595"/>
      <c r="J44" s="595"/>
      <c r="L44" s="2" t="s">
        <v>347</v>
      </c>
    </row>
    <row r="45" spans="1:12" s="594" customFormat="1" ht="14.25">
      <c r="A45" s="750"/>
      <c r="B45" s="751"/>
      <c r="C45" s="752"/>
      <c r="D45" s="753"/>
      <c r="E45" s="753"/>
      <c r="F45" s="753"/>
      <c r="G45" s="753"/>
      <c r="H45" s="753"/>
      <c r="I45" s="595"/>
      <c r="J45" s="595"/>
      <c r="L45" s="4" t="s">
        <v>346</v>
      </c>
    </row>
    <row r="46" spans="1:12" s="594" customFormat="1" ht="14.25">
      <c r="A46" s="750"/>
      <c r="B46" s="751"/>
      <c r="C46" s="752"/>
      <c r="D46" s="753"/>
      <c r="E46" s="753"/>
      <c r="F46" s="753"/>
      <c r="G46" s="753"/>
      <c r="H46" s="753"/>
      <c r="I46" s="595"/>
      <c r="J46" s="595"/>
      <c r="L46" s="4" t="s">
        <v>348</v>
      </c>
    </row>
    <row r="47" spans="1:10" s="594" customFormat="1" ht="14.25">
      <c r="A47" s="750"/>
      <c r="B47" s="751"/>
      <c r="C47" s="752"/>
      <c r="D47" s="753"/>
      <c r="E47" s="753"/>
      <c r="F47" s="753"/>
      <c r="G47" s="753"/>
      <c r="H47" s="753"/>
      <c r="I47" s="595"/>
      <c r="J47" s="595"/>
    </row>
    <row r="48" spans="1:10" s="594" customFormat="1" ht="14.25">
      <c r="A48" s="750"/>
      <c r="B48" s="751"/>
      <c r="C48" s="752"/>
      <c r="D48" s="753"/>
      <c r="E48" s="753"/>
      <c r="F48" s="753"/>
      <c r="G48" s="753"/>
      <c r="H48" s="753"/>
      <c r="I48" s="595"/>
      <c r="J48" s="595"/>
    </row>
    <row r="49" spans="1:10" s="594" customFormat="1" ht="14.25">
      <c r="A49" s="750"/>
      <c r="B49" s="751"/>
      <c r="C49" s="752"/>
      <c r="D49" s="753"/>
      <c r="E49" s="753"/>
      <c r="F49" s="753"/>
      <c r="G49" s="753"/>
      <c r="H49" s="753"/>
      <c r="I49" s="595"/>
      <c r="J49" s="595"/>
    </row>
    <row r="50" spans="1:10" s="594" customFormat="1" ht="14.25">
      <c r="A50" s="750"/>
      <c r="B50" s="751"/>
      <c r="C50" s="752"/>
      <c r="D50" s="753"/>
      <c r="E50" s="753"/>
      <c r="F50" s="753"/>
      <c r="G50" s="753"/>
      <c r="H50" s="753"/>
      <c r="I50" s="595"/>
      <c r="J50" s="595"/>
    </row>
    <row r="51" spans="1:10" s="594" customFormat="1" ht="14.25">
      <c r="A51" s="750"/>
      <c r="B51" s="751"/>
      <c r="C51" s="752"/>
      <c r="D51" s="753"/>
      <c r="E51" s="753"/>
      <c r="F51" s="753"/>
      <c r="G51" s="753"/>
      <c r="H51" s="753"/>
      <c r="I51" s="595"/>
      <c r="J51" s="595"/>
    </row>
    <row r="52" spans="1:10" s="594" customFormat="1" ht="14.25">
      <c r="A52" s="750"/>
      <c r="B52" s="751"/>
      <c r="C52" s="752"/>
      <c r="D52" s="753"/>
      <c r="E52" s="753"/>
      <c r="F52" s="753"/>
      <c r="G52" s="753"/>
      <c r="H52" s="753"/>
      <c r="I52" s="595"/>
      <c r="J52" s="595"/>
    </row>
    <row r="53" spans="1:10" s="594" customFormat="1" ht="14.25">
      <c r="A53" s="750"/>
      <c r="B53" s="751"/>
      <c r="C53" s="752"/>
      <c r="D53" s="753"/>
      <c r="E53" s="753"/>
      <c r="F53" s="753"/>
      <c r="G53" s="753"/>
      <c r="H53" s="753"/>
      <c r="I53" s="595"/>
      <c r="J53" s="595"/>
    </row>
    <row r="54" spans="1:10" s="594" customFormat="1" ht="14.25">
      <c r="A54" s="750"/>
      <c r="B54" s="751"/>
      <c r="C54" s="752"/>
      <c r="D54" s="753"/>
      <c r="E54" s="753"/>
      <c r="F54" s="753"/>
      <c r="G54" s="753"/>
      <c r="H54" s="753"/>
      <c r="I54" s="595"/>
      <c r="J54" s="595"/>
    </row>
    <row r="55" spans="1:10" s="594" customFormat="1" ht="14.25">
      <c r="A55" s="750"/>
      <c r="B55" s="751"/>
      <c r="C55" s="752"/>
      <c r="D55" s="753"/>
      <c r="E55" s="753"/>
      <c r="F55" s="753"/>
      <c r="G55" s="753"/>
      <c r="H55" s="753"/>
      <c r="I55" s="595"/>
      <c r="J55" s="595"/>
    </row>
    <row r="56" spans="1:10" s="594" customFormat="1" ht="14.25">
      <c r="A56" s="750"/>
      <c r="B56" s="751"/>
      <c r="C56" s="752"/>
      <c r="D56" s="753"/>
      <c r="E56" s="753"/>
      <c r="F56" s="753"/>
      <c r="G56" s="753"/>
      <c r="H56" s="753"/>
      <c r="I56" s="595"/>
      <c r="J56" s="595"/>
    </row>
    <row r="57" spans="1:10" s="594" customFormat="1" ht="14.25">
      <c r="A57" s="750"/>
      <c r="B57" s="751"/>
      <c r="C57" s="752"/>
      <c r="D57" s="753"/>
      <c r="E57" s="753"/>
      <c r="F57" s="753"/>
      <c r="G57" s="753"/>
      <c r="H57" s="753"/>
      <c r="I57" s="595"/>
      <c r="J57" s="595"/>
    </row>
    <row r="58" spans="1:10" s="594" customFormat="1" ht="14.25">
      <c r="A58" s="750"/>
      <c r="B58" s="751"/>
      <c r="C58" s="752"/>
      <c r="D58" s="753"/>
      <c r="E58" s="753"/>
      <c r="F58" s="753"/>
      <c r="G58" s="753"/>
      <c r="H58" s="753"/>
      <c r="I58" s="595"/>
      <c r="J58" s="595"/>
    </row>
    <row r="59" spans="1:10" s="594" customFormat="1" ht="14.25">
      <c r="A59" s="750"/>
      <c r="B59" s="751"/>
      <c r="C59" s="752"/>
      <c r="D59" s="753"/>
      <c r="E59" s="753"/>
      <c r="F59" s="753"/>
      <c r="G59" s="753"/>
      <c r="H59" s="753"/>
      <c r="I59" s="595"/>
      <c r="J59" s="595"/>
    </row>
    <row r="60" spans="1:10" s="594" customFormat="1" ht="14.25">
      <c r="A60" s="750"/>
      <c r="B60" s="751"/>
      <c r="C60" s="752"/>
      <c r="D60" s="753"/>
      <c r="E60" s="753"/>
      <c r="F60" s="753"/>
      <c r="G60" s="753"/>
      <c r="H60" s="753"/>
      <c r="I60" s="595"/>
      <c r="J60" s="595"/>
    </row>
    <row r="61" spans="1:10" s="594" customFormat="1" ht="14.25">
      <c r="A61" s="750"/>
      <c r="B61" s="751"/>
      <c r="C61" s="752"/>
      <c r="D61" s="753"/>
      <c r="E61" s="753"/>
      <c r="F61" s="753"/>
      <c r="G61" s="753"/>
      <c r="H61" s="753"/>
      <c r="I61" s="595"/>
      <c r="J61" s="595"/>
    </row>
    <row r="62" spans="1:10" s="594" customFormat="1" ht="14.25">
      <c r="A62" s="750"/>
      <c r="B62" s="751"/>
      <c r="C62" s="752"/>
      <c r="D62" s="753"/>
      <c r="E62" s="753"/>
      <c r="F62" s="753"/>
      <c r="G62" s="753"/>
      <c r="H62" s="753"/>
      <c r="I62" s="595"/>
      <c r="J62" s="595"/>
    </row>
    <row r="63" spans="1:10" s="594" customFormat="1" ht="14.25">
      <c r="A63" s="750"/>
      <c r="B63" s="751"/>
      <c r="C63" s="752"/>
      <c r="D63" s="753"/>
      <c r="E63" s="753"/>
      <c r="F63" s="753"/>
      <c r="G63" s="753"/>
      <c r="H63" s="753"/>
      <c r="I63" s="595"/>
      <c r="J63" s="595"/>
    </row>
    <row r="64" spans="1:10" s="594" customFormat="1" ht="14.25">
      <c r="A64" s="750"/>
      <c r="B64" s="751"/>
      <c r="C64" s="752"/>
      <c r="D64" s="753"/>
      <c r="E64" s="753"/>
      <c r="F64" s="753"/>
      <c r="G64" s="753"/>
      <c r="H64" s="753"/>
      <c r="I64" s="595"/>
      <c r="J64" s="595"/>
    </row>
    <row r="65" spans="1:10" s="594" customFormat="1" ht="14.25">
      <c r="A65" s="750"/>
      <c r="B65" s="751"/>
      <c r="C65" s="752"/>
      <c r="D65" s="753"/>
      <c r="E65" s="753"/>
      <c r="F65" s="753"/>
      <c r="G65" s="753"/>
      <c r="H65" s="753"/>
      <c r="I65" s="595"/>
      <c r="J65" s="595"/>
    </row>
    <row r="66" spans="1:10" s="594" customFormat="1" ht="14.25">
      <c r="A66" s="750"/>
      <c r="B66" s="751"/>
      <c r="C66" s="752"/>
      <c r="D66" s="753"/>
      <c r="E66" s="753"/>
      <c r="F66" s="753"/>
      <c r="G66" s="753"/>
      <c r="H66" s="753"/>
      <c r="I66" s="595"/>
      <c r="J66" s="595"/>
    </row>
    <row r="67" spans="1:10" s="594" customFormat="1" ht="14.25">
      <c r="A67" s="750"/>
      <c r="B67" s="751"/>
      <c r="C67" s="752"/>
      <c r="D67" s="753"/>
      <c r="E67" s="753"/>
      <c r="F67" s="753"/>
      <c r="G67" s="753"/>
      <c r="H67" s="753"/>
      <c r="I67" s="595"/>
      <c r="J67" s="595"/>
    </row>
    <row r="68" spans="1:10" s="594" customFormat="1" ht="14.25">
      <c r="A68" s="750"/>
      <c r="B68" s="751"/>
      <c r="C68" s="752"/>
      <c r="D68" s="753"/>
      <c r="E68" s="753"/>
      <c r="F68" s="753"/>
      <c r="G68" s="753"/>
      <c r="H68" s="753"/>
      <c r="I68" s="595"/>
      <c r="J68" s="595"/>
    </row>
    <row r="69" spans="1:10" s="594" customFormat="1" ht="14.25">
      <c r="A69" s="750"/>
      <c r="B69" s="751"/>
      <c r="C69" s="752"/>
      <c r="D69" s="753"/>
      <c r="E69" s="753"/>
      <c r="F69" s="753"/>
      <c r="G69" s="753"/>
      <c r="H69" s="753"/>
      <c r="I69" s="595"/>
      <c r="J69" s="595"/>
    </row>
    <row r="70" spans="1:10" s="594" customFormat="1" ht="14.25">
      <c r="A70" s="750"/>
      <c r="B70" s="751"/>
      <c r="C70" s="752"/>
      <c r="D70" s="753"/>
      <c r="E70" s="753"/>
      <c r="F70" s="753"/>
      <c r="G70" s="753"/>
      <c r="H70" s="753"/>
      <c r="I70" s="595"/>
      <c r="J70" s="595"/>
    </row>
    <row r="71" spans="1:10" s="594" customFormat="1" ht="12.75">
      <c r="A71" s="591"/>
      <c r="B71" s="592"/>
      <c r="C71" s="593"/>
      <c r="I71" s="595"/>
      <c r="J71" s="595"/>
    </row>
    <row r="72" spans="1:10" s="594" customFormat="1" ht="12.75">
      <c r="A72" s="591"/>
      <c r="B72" s="592"/>
      <c r="C72" s="593"/>
      <c r="I72" s="595"/>
      <c r="J72" s="595"/>
    </row>
    <row r="73" spans="1:10" s="594" customFormat="1" ht="12.75">
      <c r="A73" s="591"/>
      <c r="B73" s="592"/>
      <c r="C73" s="593"/>
      <c r="I73" s="595"/>
      <c r="J73" s="595"/>
    </row>
    <row r="74" spans="1:10" s="594" customFormat="1" ht="12.75">
      <c r="A74" s="591"/>
      <c r="B74" s="592"/>
      <c r="C74" s="593"/>
      <c r="I74" s="595"/>
      <c r="J74" s="595"/>
    </row>
    <row r="75" spans="1:10" s="594" customFormat="1" ht="12.75">
      <c r="A75" s="591"/>
      <c r="B75" s="592"/>
      <c r="C75" s="593"/>
      <c r="I75" s="595"/>
      <c r="J75" s="595"/>
    </row>
    <row r="76" spans="1:10" s="594" customFormat="1" ht="12.75">
      <c r="A76" s="591"/>
      <c r="B76" s="592"/>
      <c r="C76" s="593"/>
      <c r="I76" s="595"/>
      <c r="J76" s="595"/>
    </row>
    <row r="77" spans="1:10" s="594" customFormat="1" ht="12.75">
      <c r="A77" s="591"/>
      <c r="B77" s="592"/>
      <c r="C77" s="593"/>
      <c r="I77" s="595"/>
      <c r="J77" s="595"/>
    </row>
    <row r="78" spans="1:10" s="594" customFormat="1" ht="12.75">
      <c r="A78" s="591"/>
      <c r="B78" s="592"/>
      <c r="C78" s="593"/>
      <c r="I78" s="595"/>
      <c r="J78" s="595"/>
    </row>
    <row r="79" spans="1:10" s="594" customFormat="1" ht="12.75">
      <c r="A79" s="591"/>
      <c r="B79" s="592"/>
      <c r="C79" s="593"/>
      <c r="I79" s="595"/>
      <c r="J79" s="595"/>
    </row>
    <row r="80" spans="1:10" s="594" customFormat="1" ht="12.75">
      <c r="A80" s="591"/>
      <c r="B80" s="592"/>
      <c r="C80" s="593"/>
      <c r="I80" s="595"/>
      <c r="J80" s="595"/>
    </row>
    <row r="81" spans="1:10" s="594" customFormat="1" ht="12.75">
      <c r="A81" s="591"/>
      <c r="B81" s="592"/>
      <c r="C81" s="593"/>
      <c r="I81" s="595"/>
      <c r="J81" s="595"/>
    </row>
    <row r="82" spans="1:10" s="594" customFormat="1" ht="12.75">
      <c r="A82" s="591"/>
      <c r="B82" s="592"/>
      <c r="C82" s="593"/>
      <c r="I82" s="595"/>
      <c r="J82" s="595"/>
    </row>
    <row r="83" spans="1:10" s="594" customFormat="1" ht="12.75">
      <c r="A83" s="591"/>
      <c r="B83" s="592"/>
      <c r="C83" s="593"/>
      <c r="I83" s="595"/>
      <c r="J83" s="595"/>
    </row>
  </sheetData>
  <mergeCells count="4">
    <mergeCell ref="K5:L5"/>
    <mergeCell ref="N5:O5"/>
    <mergeCell ref="D5:E5"/>
    <mergeCell ref="G5:H5"/>
  </mergeCells>
  <printOptions/>
  <pageMargins left="0.46" right="0.36" top="0.61" bottom="0.7480314960629921" header="0.5118110236220472" footer="0.5118110236220472"/>
  <pageSetup firstPageNumber="14" useFirstPageNumber="1" horizontalDpi="300" verticalDpi="300" orientation="landscape" paperSize="9" scale="6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I14" sqref="I14:I16"/>
    </sheetView>
  </sheetViews>
  <sheetFormatPr defaultColWidth="9.00390625" defaultRowHeight="12.75"/>
  <cols>
    <col min="1" max="1" width="6.75390625" style="532" customWidth="1"/>
    <col min="2" max="2" width="11.875" style="532" customWidth="1"/>
    <col min="3" max="3" width="59.75390625" style="153" customWidth="1"/>
    <col min="4" max="4" width="11.25390625" style="153" hidden="1" customWidth="1"/>
    <col min="5" max="5" width="0.12890625" style="153" hidden="1" customWidth="1"/>
    <col min="6" max="6" width="22.625" style="532" customWidth="1"/>
    <col min="7" max="7" width="17.875" style="153" hidden="1" customWidth="1"/>
    <col min="8" max="8" width="0.12890625" style="153" hidden="1" customWidth="1"/>
    <col min="9" max="9" width="19.625" style="532" customWidth="1"/>
    <col min="10" max="10" width="20.125" style="532" customWidth="1"/>
    <col min="11" max="16384" width="9.125" style="153" customWidth="1"/>
  </cols>
  <sheetData>
    <row r="1" spans="6:9" ht="15.75" customHeight="1">
      <c r="F1" s="754"/>
      <c r="I1" s="755" t="s">
        <v>286</v>
      </c>
    </row>
    <row r="2" spans="4:9" ht="15.75" customHeight="1">
      <c r="D2" s="193"/>
      <c r="E2" s="193"/>
      <c r="F2" s="754"/>
      <c r="H2" s="153" t="s">
        <v>287</v>
      </c>
      <c r="I2" s="755" t="s">
        <v>2</v>
      </c>
    </row>
    <row r="3" spans="2:10" ht="15.75" customHeight="1">
      <c r="B3" s="218" t="s">
        <v>288</v>
      </c>
      <c r="D3" s="193"/>
      <c r="E3" s="193"/>
      <c r="F3" s="754"/>
      <c r="H3" s="153" t="s">
        <v>289</v>
      </c>
      <c r="I3" s="754"/>
      <c r="J3" s="754"/>
    </row>
    <row r="4" spans="1:5" ht="18" customHeight="1">
      <c r="A4" s="756"/>
      <c r="D4" s="193"/>
      <c r="E4" s="193"/>
    </row>
    <row r="5" spans="1:10" ht="20.25" customHeight="1" thickBot="1">
      <c r="A5" s="757"/>
      <c r="B5" s="757"/>
      <c r="C5" s="167"/>
      <c r="D5" s="757"/>
      <c r="E5" s="167"/>
      <c r="F5" s="757"/>
      <c r="G5" s="167"/>
      <c r="I5" s="757"/>
      <c r="J5" s="757" t="s">
        <v>4</v>
      </c>
    </row>
    <row r="6" spans="1:10" s="761" customFormat="1" ht="45.75" customHeight="1" thickBot="1" thickTop="1">
      <c r="A6" s="758" t="s">
        <v>9</v>
      </c>
      <c r="B6" s="758" t="s">
        <v>63</v>
      </c>
      <c r="C6" s="758" t="s">
        <v>290</v>
      </c>
      <c r="D6" s="759" t="s">
        <v>291</v>
      </c>
      <c r="E6" s="759" t="s">
        <v>259</v>
      </c>
      <c r="F6" s="759" t="s">
        <v>292</v>
      </c>
      <c r="G6" s="758" t="s">
        <v>148</v>
      </c>
      <c r="H6" s="760"/>
      <c r="I6" s="759" t="s">
        <v>7</v>
      </c>
      <c r="J6" s="759" t="s">
        <v>293</v>
      </c>
    </row>
    <row r="7" spans="1:10" s="167" customFormat="1" ht="14.25" customHeight="1" thickBot="1" thickTop="1">
      <c r="A7" s="145">
        <v>1</v>
      </c>
      <c r="B7" s="145">
        <v>2</v>
      </c>
      <c r="C7" s="145">
        <v>3</v>
      </c>
      <c r="D7" s="145">
        <v>3</v>
      </c>
      <c r="E7" s="145">
        <v>4</v>
      </c>
      <c r="F7" s="145">
        <v>4</v>
      </c>
      <c r="G7" s="762">
        <v>7</v>
      </c>
      <c r="H7" s="763">
        <v>9</v>
      </c>
      <c r="I7" s="145">
        <v>5</v>
      </c>
      <c r="J7" s="145">
        <v>6</v>
      </c>
    </row>
    <row r="8" spans="1:10" s="761" customFormat="1" ht="29.25" customHeight="1" thickTop="1">
      <c r="A8" s="764">
        <v>921</v>
      </c>
      <c r="B8" s="765"/>
      <c r="C8" s="766" t="s">
        <v>296</v>
      </c>
      <c r="D8" s="764" t="e">
        <f>SUM(#REF!+#REF!)+#REF!</f>
        <v>#REF!</v>
      </c>
      <c r="E8" s="764">
        <f>SUM(E9:E10)</f>
        <v>30000</v>
      </c>
      <c r="F8" s="764">
        <v>9830000</v>
      </c>
      <c r="G8" s="764">
        <f>SUM(G9:G10)</f>
        <v>668000</v>
      </c>
      <c r="H8" s="767" t="e">
        <f>SUM(#REF!+#REF!)+#REF!</f>
        <v>#REF!</v>
      </c>
      <c r="I8" s="764">
        <f>I9+I10</f>
        <v>230000</v>
      </c>
      <c r="J8" s="764">
        <f>I8+F8</f>
        <v>10060000</v>
      </c>
    </row>
    <row r="9" spans="1:10" s="167" customFormat="1" ht="27.75" customHeight="1">
      <c r="A9" s="768"/>
      <c r="B9" s="769">
        <v>92106</v>
      </c>
      <c r="C9" s="770" t="s">
        <v>294</v>
      </c>
      <c r="D9" s="771">
        <v>2000</v>
      </c>
      <c r="E9" s="772">
        <v>30000</v>
      </c>
      <c r="F9" s="773">
        <v>1750000</v>
      </c>
      <c r="G9" s="773">
        <v>668000</v>
      </c>
      <c r="H9" s="772">
        <v>243800</v>
      </c>
      <c r="I9" s="773">
        <f>50000+20000</f>
        <v>70000</v>
      </c>
      <c r="J9" s="773">
        <f>I9+F9</f>
        <v>1820000</v>
      </c>
    </row>
    <row r="10" spans="1:10" ht="27.75" customHeight="1">
      <c r="A10" s="569"/>
      <c r="B10" s="774">
        <v>92113</v>
      </c>
      <c r="C10" s="775" t="s">
        <v>295</v>
      </c>
      <c r="D10" s="776"/>
      <c r="E10" s="777"/>
      <c r="F10" s="778">
        <v>1340000</v>
      </c>
      <c r="G10" s="778"/>
      <c r="H10" s="779"/>
      <c r="I10" s="778">
        <v>160000</v>
      </c>
      <c r="J10" s="778">
        <f>I10+F10</f>
        <v>1500000</v>
      </c>
    </row>
    <row r="11" ht="19.5" customHeight="1"/>
    <row r="14" ht="12.75">
      <c r="I14" s="2" t="s">
        <v>347</v>
      </c>
    </row>
    <row r="15" ht="12.75">
      <c r="I15" s="4" t="s">
        <v>346</v>
      </c>
    </row>
    <row r="16" ht="12.75">
      <c r="I16" s="4" t="s">
        <v>348</v>
      </c>
    </row>
  </sheetData>
  <printOptions horizontalCentered="1"/>
  <pageMargins left="0.5905511811023623" right="0.5905511811023623" top="0.8267716535433072" bottom="0.5905511811023623" header="0.5118110236220472" footer="0.5118110236220472"/>
  <pageSetup firstPageNumber="16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2"/>
  <sheetViews>
    <sheetView zoomScale="75" zoomScaleNormal="75" workbookViewId="0" topLeftCell="A1">
      <selection activeCell="F50" sqref="F50:F52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46.25390625" style="0" customWidth="1"/>
    <col min="4" max="4" width="17.75390625" style="0" customWidth="1"/>
    <col min="5" max="5" width="14.00390625" style="0" customWidth="1"/>
    <col min="6" max="6" width="18.00390625" style="0" customWidth="1"/>
    <col min="7" max="7" width="52.875" style="0" customWidth="1"/>
  </cols>
  <sheetData>
    <row r="1" ht="14.25">
      <c r="G1" s="780" t="s">
        <v>297</v>
      </c>
    </row>
    <row r="2" spans="1:7" ht="15.75">
      <c r="A2" s="245" t="s">
        <v>298</v>
      </c>
      <c r="G2" s="780" t="s">
        <v>299</v>
      </c>
    </row>
    <row r="3" spans="1:36" s="122" customFormat="1" ht="17.25" customHeight="1">
      <c r="A3" s="245" t="s">
        <v>300</v>
      </c>
      <c r="G3" s="78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22" customFormat="1" ht="17.25" customHeight="1">
      <c r="A4" s="245"/>
      <c r="G4" s="78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3.5" thickBot="1">
      <c r="G5" s="239" t="s">
        <v>301</v>
      </c>
    </row>
    <row r="6" spans="1:36" s="153" customFormat="1" ht="43.5" customHeight="1" thickBot="1" thickTop="1">
      <c r="A6" s="759" t="s">
        <v>9</v>
      </c>
      <c r="B6" s="758" t="s">
        <v>63</v>
      </c>
      <c r="C6" s="758" t="s">
        <v>302</v>
      </c>
      <c r="D6" s="781" t="s">
        <v>303</v>
      </c>
      <c r="E6" s="781" t="s">
        <v>7</v>
      </c>
      <c r="F6" s="781" t="s">
        <v>304</v>
      </c>
      <c r="G6" s="781" t="s">
        <v>305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53" customFormat="1" ht="12" customHeight="1" thickBot="1" thickTop="1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785" customFormat="1" ht="19.5" customHeight="1" thickBot="1" thickTop="1">
      <c r="A8" s="782"/>
      <c r="B8" s="782"/>
      <c r="C8" s="783" t="s">
        <v>148</v>
      </c>
      <c r="D8" s="151">
        <v>21224000</v>
      </c>
      <c r="E8" s="151">
        <f>E9+E45+E46</f>
        <v>2377746</v>
      </c>
      <c r="F8" s="151">
        <f aca="true" t="shared" si="0" ref="F8:F21">E8+D8</f>
        <v>23601746</v>
      </c>
      <c r="G8" s="78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53" customFormat="1" ht="30.75" customHeight="1" thickBot="1">
      <c r="A9" s="786"/>
      <c r="B9" s="786"/>
      <c r="C9" s="787" t="s">
        <v>331</v>
      </c>
      <c r="D9" s="788">
        <v>19019000</v>
      </c>
      <c r="E9" s="788">
        <f>E10+E21+E28+E33+E38+E42</f>
        <v>2377746</v>
      </c>
      <c r="F9" s="788">
        <f t="shared" si="0"/>
        <v>21396746</v>
      </c>
      <c r="G9" s="78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53" customFormat="1" ht="19.5" customHeight="1" thickTop="1">
      <c r="A10" s="790">
        <v>801</v>
      </c>
      <c r="B10" s="790"/>
      <c r="C10" s="40" t="s">
        <v>31</v>
      </c>
      <c r="D10" s="791">
        <v>12713000</v>
      </c>
      <c r="E10" s="791">
        <f>E11+E13+E15+E17+E19</f>
        <v>696000</v>
      </c>
      <c r="F10" s="791">
        <f t="shared" si="0"/>
        <v>13409000</v>
      </c>
      <c r="G10" s="4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3" customFormat="1" ht="19.5" customHeight="1">
      <c r="A11" s="792"/>
      <c r="B11" s="793">
        <v>80101</v>
      </c>
      <c r="C11" s="794" t="s">
        <v>32</v>
      </c>
      <c r="D11" s="795">
        <f>D12</f>
        <v>900000</v>
      </c>
      <c r="E11" s="795">
        <f>E12</f>
        <v>78000</v>
      </c>
      <c r="F11" s="795">
        <f t="shared" si="0"/>
        <v>978000</v>
      </c>
      <c r="G11" s="79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53" customFormat="1" ht="25.5">
      <c r="A12" s="543"/>
      <c r="B12" s="796"/>
      <c r="C12" s="797" t="s">
        <v>98</v>
      </c>
      <c r="D12" s="798">
        <v>900000</v>
      </c>
      <c r="E12" s="798">
        <v>78000</v>
      </c>
      <c r="F12" s="798">
        <f t="shared" si="0"/>
        <v>978000</v>
      </c>
      <c r="G12" s="797" t="s">
        <v>306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3" customFormat="1" ht="19.5" customHeight="1">
      <c r="A13" s="792"/>
      <c r="B13" s="793">
        <v>80104</v>
      </c>
      <c r="C13" s="794" t="s">
        <v>99</v>
      </c>
      <c r="D13" s="795">
        <f>D14</f>
        <v>2850000</v>
      </c>
      <c r="E13" s="795">
        <f>E14</f>
        <v>151000</v>
      </c>
      <c r="F13" s="795">
        <f t="shared" si="0"/>
        <v>3001000</v>
      </c>
      <c r="G13" s="79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53" customFormat="1" ht="25.5" customHeight="1">
      <c r="A14" s="543"/>
      <c r="B14" s="796"/>
      <c r="C14" s="797" t="s">
        <v>101</v>
      </c>
      <c r="D14" s="798">
        <v>2850000</v>
      </c>
      <c r="E14" s="798">
        <v>151000</v>
      </c>
      <c r="F14" s="798">
        <f t="shared" si="0"/>
        <v>3001000</v>
      </c>
      <c r="G14" s="797" t="s">
        <v>307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53" customFormat="1" ht="19.5" customHeight="1">
      <c r="A15" s="543"/>
      <c r="B15" s="799">
        <v>80110</v>
      </c>
      <c r="C15" s="113" t="s">
        <v>34</v>
      </c>
      <c r="D15" s="800">
        <f>D16</f>
        <v>1900000</v>
      </c>
      <c r="E15" s="800">
        <f>E16</f>
        <v>108000</v>
      </c>
      <c r="F15" s="800">
        <f t="shared" si="0"/>
        <v>2008000</v>
      </c>
      <c r="G15" s="11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53" customFormat="1" ht="25.5">
      <c r="A16" s="543"/>
      <c r="B16" s="543"/>
      <c r="C16" s="562" t="s">
        <v>308</v>
      </c>
      <c r="D16" s="565">
        <v>1900000</v>
      </c>
      <c r="E16" s="565">
        <v>108000</v>
      </c>
      <c r="F16" s="565">
        <f t="shared" si="0"/>
        <v>2008000</v>
      </c>
      <c r="G16" s="562" t="s">
        <v>309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3" customFormat="1" ht="19.5" customHeight="1">
      <c r="A17" s="792"/>
      <c r="B17" s="793">
        <v>80120</v>
      </c>
      <c r="C17" s="793" t="s">
        <v>48</v>
      </c>
      <c r="D17" s="795">
        <f>D18</f>
        <v>3600000</v>
      </c>
      <c r="E17" s="795">
        <f>E18</f>
        <v>145000</v>
      </c>
      <c r="F17" s="795">
        <f t="shared" si="0"/>
        <v>3745000</v>
      </c>
      <c r="G17" s="79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53" customFormat="1" ht="38.25">
      <c r="A18" s="543"/>
      <c r="B18" s="801"/>
      <c r="C18" s="797" t="s">
        <v>103</v>
      </c>
      <c r="D18" s="798">
        <v>3600000</v>
      </c>
      <c r="E18" s="802">
        <v>145000</v>
      </c>
      <c r="F18" s="802">
        <f t="shared" si="0"/>
        <v>3745000</v>
      </c>
      <c r="G18" s="562" t="s">
        <v>310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53" customFormat="1" ht="19.5" customHeight="1">
      <c r="A19" s="543"/>
      <c r="B19" s="793">
        <v>80130</v>
      </c>
      <c r="C19" s="793" t="s">
        <v>49</v>
      </c>
      <c r="D19" s="795">
        <f>D20</f>
        <v>3130000</v>
      </c>
      <c r="E19" s="795">
        <f>E20</f>
        <v>214000</v>
      </c>
      <c r="F19" s="795">
        <f t="shared" si="0"/>
        <v>3344000</v>
      </c>
      <c r="G19" s="79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53" customFormat="1" ht="25.5">
      <c r="A20" s="786"/>
      <c r="B20" s="796"/>
      <c r="C20" s="797" t="s">
        <v>311</v>
      </c>
      <c r="D20" s="798">
        <v>3130000</v>
      </c>
      <c r="E20" s="798">
        <v>214000</v>
      </c>
      <c r="F20" s="798">
        <f t="shared" si="0"/>
        <v>3344000</v>
      </c>
      <c r="G20" s="797" t="s">
        <v>312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53" customFormat="1" ht="19.5" customHeight="1">
      <c r="A21" s="790">
        <v>851</v>
      </c>
      <c r="B21" s="790"/>
      <c r="C21" s="40" t="s">
        <v>106</v>
      </c>
      <c r="D21" s="803">
        <v>1721000</v>
      </c>
      <c r="E21" s="803">
        <f>E25+E22</f>
        <v>180746</v>
      </c>
      <c r="F21" s="803">
        <f t="shared" si="0"/>
        <v>1901746</v>
      </c>
      <c r="G21" s="4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7" s="208" customFormat="1" ht="19.5" customHeight="1">
      <c r="A22" s="804"/>
      <c r="B22" s="805">
        <v>85121</v>
      </c>
      <c r="C22" s="64" t="s">
        <v>107</v>
      </c>
      <c r="D22" s="806"/>
      <c r="E22" s="806">
        <f>E23+E24</f>
        <v>180000</v>
      </c>
      <c r="F22" s="806">
        <f>E22</f>
        <v>180000</v>
      </c>
      <c r="G22" s="67"/>
    </row>
    <row r="23" spans="1:7" s="208" customFormat="1" ht="25.5">
      <c r="A23" s="804"/>
      <c r="B23" s="807"/>
      <c r="C23" s="808" t="s">
        <v>217</v>
      </c>
      <c r="D23" s="809"/>
      <c r="E23" s="809">
        <v>100000</v>
      </c>
      <c r="F23" s="809">
        <f>E23</f>
        <v>100000</v>
      </c>
      <c r="G23" s="808" t="s">
        <v>218</v>
      </c>
    </row>
    <row r="24" spans="1:7" s="208" customFormat="1" ht="25.5">
      <c r="A24" s="804"/>
      <c r="B24" s="810"/>
      <c r="C24" s="67" t="s">
        <v>313</v>
      </c>
      <c r="D24" s="811"/>
      <c r="E24" s="811">
        <v>80000</v>
      </c>
      <c r="F24" s="811">
        <f>E24</f>
        <v>80000</v>
      </c>
      <c r="G24" s="67" t="s">
        <v>314</v>
      </c>
    </row>
    <row r="25" spans="1:36" s="153" customFormat="1" ht="23.25" customHeight="1">
      <c r="A25" s="543"/>
      <c r="B25" s="799">
        <v>85154</v>
      </c>
      <c r="C25" s="113" t="s">
        <v>315</v>
      </c>
      <c r="D25" s="800">
        <v>1458000</v>
      </c>
      <c r="E25" s="800">
        <f>E26</f>
        <v>746</v>
      </c>
      <c r="F25" s="800">
        <f aca="true" t="shared" si="1" ref="F25:F46">E25+D25</f>
        <v>1458746</v>
      </c>
      <c r="G25" s="11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53" customFormat="1" ht="25.5">
      <c r="A26" s="786"/>
      <c r="B26" s="786"/>
      <c r="C26" s="797" t="s">
        <v>316</v>
      </c>
      <c r="D26" s="798">
        <v>1458000</v>
      </c>
      <c r="E26" s="798">
        <f>E27</f>
        <v>746</v>
      </c>
      <c r="F26" s="798">
        <f t="shared" si="1"/>
        <v>1458746</v>
      </c>
      <c r="G26" s="79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813" customFormat="1" ht="38.25">
      <c r="A27" s="543"/>
      <c r="B27" s="543"/>
      <c r="C27" s="812" t="s">
        <v>317</v>
      </c>
      <c r="D27" s="771">
        <v>500000</v>
      </c>
      <c r="E27" s="771">
        <v>746</v>
      </c>
      <c r="F27" s="771">
        <f t="shared" si="1"/>
        <v>500746</v>
      </c>
      <c r="G27" s="812" t="s">
        <v>318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53" customFormat="1" ht="21.75" customHeight="1">
      <c r="A28" s="108">
        <v>852</v>
      </c>
      <c r="B28" s="108"/>
      <c r="C28" s="96" t="s">
        <v>108</v>
      </c>
      <c r="D28" s="814">
        <v>1684000</v>
      </c>
      <c r="E28" s="814">
        <f>E29+E31</f>
        <v>1350000</v>
      </c>
      <c r="F28" s="814">
        <f t="shared" si="1"/>
        <v>3034000</v>
      </c>
      <c r="G28" s="81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93" customFormat="1" ht="19.5" customHeight="1">
      <c r="A29" s="792"/>
      <c r="B29" s="793">
        <v>85201</v>
      </c>
      <c r="C29" s="793" t="s">
        <v>319</v>
      </c>
      <c r="D29" s="795">
        <f>D30</f>
        <v>700000</v>
      </c>
      <c r="E29" s="795">
        <f>E30</f>
        <v>800000</v>
      </c>
      <c r="F29" s="795">
        <f t="shared" si="1"/>
        <v>1500000</v>
      </c>
      <c r="G29" s="793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93" customFormat="1" ht="38.25">
      <c r="A30" s="792"/>
      <c r="B30" s="793"/>
      <c r="C30" s="797" t="s">
        <v>110</v>
      </c>
      <c r="D30" s="798">
        <v>700000</v>
      </c>
      <c r="E30" s="798">
        <v>800000</v>
      </c>
      <c r="F30" s="798">
        <f t="shared" si="1"/>
        <v>1500000</v>
      </c>
      <c r="G30" s="797" t="s">
        <v>320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93" customFormat="1" ht="21" customHeight="1">
      <c r="A31" s="792"/>
      <c r="B31" s="799">
        <v>85295</v>
      </c>
      <c r="C31" s="113" t="s">
        <v>88</v>
      </c>
      <c r="D31" s="560">
        <v>280000</v>
      </c>
      <c r="E31" s="560">
        <f>E32</f>
        <v>550000</v>
      </c>
      <c r="F31" s="560">
        <f t="shared" si="1"/>
        <v>830000</v>
      </c>
      <c r="G31" s="11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93" customFormat="1" ht="38.25">
      <c r="A32" s="799"/>
      <c r="B32" s="799"/>
      <c r="C32" s="797" t="s">
        <v>119</v>
      </c>
      <c r="D32" s="798">
        <v>180000</v>
      </c>
      <c r="E32" s="798">
        <v>550000</v>
      </c>
      <c r="F32" s="798">
        <f t="shared" si="1"/>
        <v>730000</v>
      </c>
      <c r="G32" s="797" t="s">
        <v>119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53" customFormat="1" ht="20.25" customHeight="1">
      <c r="A33" s="790">
        <v>854</v>
      </c>
      <c r="B33" s="790"/>
      <c r="C33" s="40" t="s">
        <v>121</v>
      </c>
      <c r="D33" s="791">
        <v>1270000</v>
      </c>
      <c r="E33" s="791">
        <f>E34+E36</f>
        <v>62000</v>
      </c>
      <c r="F33" s="791">
        <f t="shared" si="1"/>
        <v>1332000</v>
      </c>
      <c r="G33" s="4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53" customFormat="1" ht="19.5" customHeight="1">
      <c r="A34" s="114"/>
      <c r="B34" s="815">
        <v>85403</v>
      </c>
      <c r="C34" s="45" t="s">
        <v>321</v>
      </c>
      <c r="D34" s="816">
        <f>D35</f>
        <v>580000</v>
      </c>
      <c r="E34" s="816">
        <f>E35</f>
        <v>48000</v>
      </c>
      <c r="F34" s="816">
        <f t="shared" si="1"/>
        <v>628000</v>
      </c>
      <c r="G34" s="45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813" customFormat="1" ht="38.25">
      <c r="A35" s="804"/>
      <c r="B35" s="817"/>
      <c r="C35" s="74" t="s">
        <v>322</v>
      </c>
      <c r="D35" s="818">
        <v>580000</v>
      </c>
      <c r="E35" s="818">
        <v>48000</v>
      </c>
      <c r="F35" s="818">
        <f t="shared" si="1"/>
        <v>628000</v>
      </c>
      <c r="G35" s="74" t="s">
        <v>323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93" customFormat="1" ht="20.25" customHeight="1">
      <c r="A36" s="792"/>
      <c r="B36" s="799">
        <v>85410</v>
      </c>
      <c r="C36" s="113" t="s">
        <v>124</v>
      </c>
      <c r="D36" s="560">
        <f>D37</f>
        <v>550000</v>
      </c>
      <c r="E36" s="560">
        <f>E37</f>
        <v>14000</v>
      </c>
      <c r="F36" s="560">
        <f t="shared" si="1"/>
        <v>564000</v>
      </c>
      <c r="G36" s="79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67" customFormat="1" ht="25.5">
      <c r="A37" s="786"/>
      <c r="B37" s="796"/>
      <c r="C37" s="797" t="s">
        <v>125</v>
      </c>
      <c r="D37" s="798">
        <v>550000</v>
      </c>
      <c r="E37" s="798">
        <v>14000</v>
      </c>
      <c r="F37" s="798">
        <f t="shared" si="1"/>
        <v>564000</v>
      </c>
      <c r="G37" s="797" t="s">
        <v>324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53" customFormat="1" ht="22.5" customHeight="1">
      <c r="A38" s="790">
        <v>921</v>
      </c>
      <c r="B38" s="790"/>
      <c r="C38" s="40" t="s">
        <v>51</v>
      </c>
      <c r="D38" s="803">
        <v>680000</v>
      </c>
      <c r="E38" s="803">
        <f>E39</f>
        <v>-11000</v>
      </c>
      <c r="F38" s="803">
        <f t="shared" si="1"/>
        <v>669000</v>
      </c>
      <c r="G38" s="80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53" customFormat="1" ht="20.25" customHeight="1">
      <c r="A39" s="543"/>
      <c r="B39" s="799">
        <v>92105</v>
      </c>
      <c r="C39" s="113" t="s">
        <v>128</v>
      </c>
      <c r="D39" s="800">
        <v>680000</v>
      </c>
      <c r="E39" s="800">
        <f>E40+E41</f>
        <v>-11000</v>
      </c>
      <c r="F39" s="800">
        <f t="shared" si="1"/>
        <v>669000</v>
      </c>
      <c r="G39" s="56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813" customFormat="1" ht="18.75" customHeight="1">
      <c r="A40" s="543"/>
      <c r="B40" s="543"/>
      <c r="C40" s="562" t="s">
        <v>325</v>
      </c>
      <c r="D40" s="565">
        <f>370000+50000</f>
        <v>420000</v>
      </c>
      <c r="E40" s="565">
        <f>8000-20000</f>
        <v>-12000</v>
      </c>
      <c r="F40" s="565">
        <f t="shared" si="1"/>
        <v>408000</v>
      </c>
      <c r="G40" s="565" t="s">
        <v>326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53" customFormat="1" ht="18.75" customHeight="1">
      <c r="A41" s="543"/>
      <c r="B41" s="543"/>
      <c r="C41" s="819" t="s">
        <v>327</v>
      </c>
      <c r="D41" s="820">
        <v>30000</v>
      </c>
      <c r="E41" s="820">
        <f>1000</f>
        <v>1000</v>
      </c>
      <c r="F41" s="820">
        <f t="shared" si="1"/>
        <v>31000</v>
      </c>
      <c r="G41" s="771" t="s">
        <v>326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53" customFormat="1" ht="19.5" customHeight="1">
      <c r="A42" s="108">
        <v>926</v>
      </c>
      <c r="B42" s="108"/>
      <c r="C42" s="96" t="s">
        <v>37</v>
      </c>
      <c r="D42" s="814">
        <v>901000</v>
      </c>
      <c r="E42" s="814">
        <f>E43</f>
        <v>100000</v>
      </c>
      <c r="F42" s="814">
        <f t="shared" si="1"/>
        <v>1001000</v>
      </c>
      <c r="G42" s="9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53" customFormat="1" ht="23.25" customHeight="1">
      <c r="A43" s="543"/>
      <c r="B43" s="793">
        <v>92605</v>
      </c>
      <c r="C43" s="794" t="s">
        <v>136</v>
      </c>
      <c r="D43" s="795">
        <f>D44</f>
        <v>695000</v>
      </c>
      <c r="E43" s="795">
        <f>E44</f>
        <v>100000</v>
      </c>
      <c r="F43" s="795">
        <f t="shared" si="1"/>
        <v>795000</v>
      </c>
      <c r="G43" s="79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53" customFormat="1" ht="19.5" customHeight="1">
      <c r="A44" s="543"/>
      <c r="B44" s="801"/>
      <c r="C44" s="796" t="s">
        <v>328</v>
      </c>
      <c r="D44" s="798">
        <v>695000</v>
      </c>
      <c r="E44" s="798">
        <v>100000</v>
      </c>
      <c r="F44" s="798">
        <f t="shared" si="1"/>
        <v>795000</v>
      </c>
      <c r="G44" s="797" t="s">
        <v>329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93" customFormat="1" ht="25.5" customHeight="1" thickBot="1">
      <c r="A45" s="792"/>
      <c r="B45" s="792"/>
      <c r="C45" s="211" t="s">
        <v>330</v>
      </c>
      <c r="D45" s="212">
        <v>238000</v>
      </c>
      <c r="E45" s="212"/>
      <c r="F45" s="212">
        <f t="shared" si="1"/>
        <v>238000</v>
      </c>
      <c r="G45" s="21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93" customFormat="1" ht="34.5" customHeight="1" thickBot="1" thickTop="1">
      <c r="A46" s="821"/>
      <c r="B46" s="821"/>
      <c r="C46" s="211" t="s">
        <v>281</v>
      </c>
      <c r="D46" s="212">
        <v>1967000</v>
      </c>
      <c r="E46" s="212"/>
      <c r="F46" s="212">
        <f t="shared" si="1"/>
        <v>1967000</v>
      </c>
      <c r="G46" s="21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ht="13.5" thickTop="1"/>
    <row r="50" ht="12.75">
      <c r="F50" s="2" t="s">
        <v>347</v>
      </c>
    </row>
    <row r="51" ht="12.75">
      <c r="F51" s="4" t="s">
        <v>346</v>
      </c>
    </row>
    <row r="52" ht="12.75">
      <c r="F52" s="4" t="s">
        <v>348</v>
      </c>
    </row>
  </sheetData>
  <printOptions horizontalCentered="1"/>
  <pageMargins left="0.38" right="0.41" top="0.6692913385826772" bottom="0.7086614173228347" header="0.5118110236220472" footer="0.5118110236220472"/>
  <pageSetup firstPageNumber="17" useFirstPageNumber="1" horizontalDpi="600" verticalDpi="600" orientation="landscape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E21" sqref="E21:E23"/>
    </sheetView>
  </sheetViews>
  <sheetFormatPr defaultColWidth="9.00390625" defaultRowHeight="12.75"/>
  <cols>
    <col min="1" max="1" width="7.375" style="231" customWidth="1"/>
    <col min="2" max="2" width="8.125" style="231" customWidth="1"/>
    <col min="3" max="3" width="72.25390625" style="231" customWidth="1"/>
    <col min="4" max="6" width="19.25390625" style="231" customWidth="1"/>
    <col min="13" max="16384" width="9.125" style="231" customWidth="1"/>
  </cols>
  <sheetData>
    <row r="1" spans="3:6" ht="15.75">
      <c r="C1" s="245"/>
      <c r="D1" s="217"/>
      <c r="E1" s="217"/>
      <c r="F1" s="217" t="s">
        <v>332</v>
      </c>
    </row>
    <row r="2" spans="2:12" s="245" customFormat="1" ht="15.75">
      <c r="B2" s="245" t="s">
        <v>333</v>
      </c>
      <c r="D2" s="217"/>
      <c r="E2" s="217"/>
      <c r="F2" s="217" t="s">
        <v>2</v>
      </c>
      <c r="G2"/>
      <c r="H2"/>
      <c r="I2"/>
      <c r="J2"/>
      <c r="K2"/>
      <c r="L2"/>
    </row>
    <row r="3" spans="4:12" s="245" customFormat="1" ht="13.5" customHeight="1">
      <c r="D3" s="217"/>
      <c r="E3" s="217"/>
      <c r="F3" s="217"/>
      <c r="G3"/>
      <c r="H3"/>
      <c r="I3"/>
      <c r="J3"/>
      <c r="K3"/>
      <c r="L3"/>
    </row>
    <row r="4" spans="4:12" s="245" customFormat="1" ht="13.5" customHeight="1">
      <c r="D4" s="217"/>
      <c r="E4" s="217"/>
      <c r="F4" s="217"/>
      <c r="G4"/>
      <c r="H4"/>
      <c r="I4"/>
      <c r="J4"/>
      <c r="K4"/>
      <c r="L4"/>
    </row>
    <row r="5" spans="3:6" ht="15.75" thickBot="1">
      <c r="C5" s="822"/>
      <c r="D5" s="754"/>
      <c r="E5" s="754"/>
      <c r="F5" s="754" t="s">
        <v>4</v>
      </c>
    </row>
    <row r="6" spans="1:12" s="822" customFormat="1" ht="33" customHeight="1" thickTop="1">
      <c r="A6" s="859" t="s">
        <v>9</v>
      </c>
      <c r="B6" s="859" t="s">
        <v>334</v>
      </c>
      <c r="C6" s="859" t="s">
        <v>335</v>
      </c>
      <c r="D6" s="859" t="s">
        <v>336</v>
      </c>
      <c r="E6" s="859" t="s">
        <v>7</v>
      </c>
      <c r="F6" s="859" t="s">
        <v>337</v>
      </c>
      <c r="G6"/>
      <c r="H6"/>
      <c r="I6"/>
      <c r="J6"/>
      <c r="K6"/>
      <c r="L6"/>
    </row>
    <row r="7" spans="1:12" s="822" customFormat="1" ht="35.25" customHeight="1" thickBot="1">
      <c r="A7" s="861"/>
      <c r="B7" s="860"/>
      <c r="C7" s="861"/>
      <c r="D7" s="860"/>
      <c r="E7" s="860"/>
      <c r="F7" s="860"/>
      <c r="G7"/>
      <c r="H7"/>
      <c r="I7"/>
      <c r="J7"/>
      <c r="K7"/>
      <c r="L7"/>
    </row>
    <row r="8" spans="1:6" ht="15.75" thickBot="1" thickTop="1">
      <c r="A8" s="823">
        <v>1</v>
      </c>
      <c r="B8" s="823">
        <v>2</v>
      </c>
      <c r="C8" s="823">
        <v>3</v>
      </c>
      <c r="D8" s="762">
        <v>4</v>
      </c>
      <c r="E8" s="762">
        <v>5</v>
      </c>
      <c r="F8" s="762">
        <v>6</v>
      </c>
    </row>
    <row r="9" spans="1:6" ht="24.75" customHeight="1" thickTop="1">
      <c r="A9" s="824"/>
      <c r="B9" s="824"/>
      <c r="C9" s="825" t="s">
        <v>338</v>
      </c>
      <c r="D9" s="826">
        <v>1329710</v>
      </c>
      <c r="E9" s="826"/>
      <c r="F9" s="826">
        <f aca="true" t="shared" si="0" ref="F9:F17">E9+D9</f>
        <v>1329710</v>
      </c>
    </row>
    <row r="10" spans="1:6" ht="19.5" customHeight="1">
      <c r="A10" s="164"/>
      <c r="B10" s="827"/>
      <c r="C10" s="828" t="s">
        <v>339</v>
      </c>
      <c r="D10" s="829">
        <v>2425000</v>
      </c>
      <c r="E10" s="829"/>
      <c r="F10" s="829">
        <f t="shared" si="0"/>
        <v>2425000</v>
      </c>
    </row>
    <row r="11" spans="1:12" s="822" customFormat="1" ht="21.75" customHeight="1">
      <c r="A11" s="188"/>
      <c r="B11" s="188"/>
      <c r="C11" s="830" t="s">
        <v>340</v>
      </c>
      <c r="D11" s="831">
        <f>D9+D10</f>
        <v>3754710</v>
      </c>
      <c r="E11" s="831"/>
      <c r="F11" s="831">
        <f t="shared" si="0"/>
        <v>3754710</v>
      </c>
      <c r="G11"/>
      <c r="H11"/>
      <c r="I11"/>
      <c r="J11"/>
      <c r="K11"/>
      <c r="L11"/>
    </row>
    <row r="12" spans="1:6" ht="19.5" customHeight="1">
      <c r="A12" s="832"/>
      <c r="B12" s="833"/>
      <c r="C12" s="828" t="s">
        <v>341</v>
      </c>
      <c r="D12" s="834">
        <v>3010000</v>
      </c>
      <c r="E12" s="834">
        <f>E13</f>
        <v>50000</v>
      </c>
      <c r="F12" s="834">
        <f t="shared" si="0"/>
        <v>3060000</v>
      </c>
    </row>
    <row r="13" spans="1:6" ht="19.5" customHeight="1">
      <c r="A13" s="186">
        <v>900</v>
      </c>
      <c r="B13" s="835"/>
      <c r="C13" s="187" t="s">
        <v>222</v>
      </c>
      <c r="D13" s="836">
        <v>3010000</v>
      </c>
      <c r="E13" s="836">
        <f>E14</f>
        <v>50000</v>
      </c>
      <c r="F13" s="836">
        <f t="shared" si="0"/>
        <v>3060000</v>
      </c>
    </row>
    <row r="14" spans="1:6" ht="19.5" customHeight="1">
      <c r="A14" s="164"/>
      <c r="B14" s="165">
        <v>90011</v>
      </c>
      <c r="C14" s="199" t="s">
        <v>342</v>
      </c>
      <c r="D14" s="837">
        <v>3010000</v>
      </c>
      <c r="E14" s="837">
        <f>E15</f>
        <v>50000</v>
      </c>
      <c r="F14" s="837">
        <f t="shared" si="0"/>
        <v>3060000</v>
      </c>
    </row>
    <row r="15" spans="1:6" ht="19.5" customHeight="1">
      <c r="A15" s="164"/>
      <c r="B15" s="838"/>
      <c r="C15" s="839" t="s">
        <v>343</v>
      </c>
      <c r="D15" s="840"/>
      <c r="E15" s="840">
        <v>50000</v>
      </c>
      <c r="F15" s="840">
        <f t="shared" si="0"/>
        <v>50000</v>
      </c>
    </row>
    <row r="16" spans="1:12" s="844" customFormat="1" ht="19.5" customHeight="1">
      <c r="A16" s="841"/>
      <c r="B16" s="179">
        <v>6110</v>
      </c>
      <c r="C16" s="842" t="s">
        <v>344</v>
      </c>
      <c r="D16" s="843"/>
      <c r="E16" s="843">
        <v>50000</v>
      </c>
      <c r="F16" s="843">
        <f t="shared" si="0"/>
        <v>50000</v>
      </c>
      <c r="G16" s="246"/>
      <c r="H16" s="246"/>
      <c r="I16" s="246"/>
      <c r="J16" s="246"/>
      <c r="K16" s="246"/>
      <c r="L16" s="246"/>
    </row>
    <row r="17" spans="1:12" s="780" customFormat="1" ht="20.25" customHeight="1">
      <c r="A17" s="845"/>
      <c r="B17" s="846"/>
      <c r="C17" s="847" t="s">
        <v>345</v>
      </c>
      <c r="D17" s="848">
        <f>D9+D10-D12</f>
        <v>744710</v>
      </c>
      <c r="E17" s="848">
        <v>-50000</v>
      </c>
      <c r="F17" s="848">
        <f t="shared" si="0"/>
        <v>694710</v>
      </c>
      <c r="G17"/>
      <c r="H17"/>
      <c r="I17"/>
      <c r="J17"/>
      <c r="K17"/>
      <c r="L17"/>
    </row>
    <row r="18" spans="1:12" s="822" customFormat="1" ht="19.5" customHeight="1">
      <c r="A18" s="165"/>
      <c r="B18" s="849"/>
      <c r="C18" s="850" t="s">
        <v>340</v>
      </c>
      <c r="D18" s="166">
        <f>D12+D17</f>
        <v>3754710</v>
      </c>
      <c r="E18" s="166"/>
      <c r="F18" s="166">
        <f>F12+F17</f>
        <v>3754710</v>
      </c>
      <c r="G18"/>
      <c r="H18"/>
      <c r="I18"/>
      <c r="J18"/>
      <c r="K18"/>
      <c r="L18"/>
    </row>
    <row r="19" spans="4:6" ht="14.25">
      <c r="D19" s="851"/>
      <c r="E19" s="851"/>
      <c r="F19" s="851"/>
    </row>
    <row r="21" ht="14.25">
      <c r="E21" s="2" t="s">
        <v>347</v>
      </c>
    </row>
    <row r="22" ht="12.75">
      <c r="E22" s="4" t="s">
        <v>346</v>
      </c>
    </row>
    <row r="23" ht="12.75">
      <c r="E23" s="4" t="s">
        <v>348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</sheetData>
  <mergeCells count="6">
    <mergeCell ref="D6:D7"/>
    <mergeCell ref="E6:E7"/>
    <mergeCell ref="F6:F7"/>
    <mergeCell ref="A6:A7"/>
    <mergeCell ref="B6:B7"/>
    <mergeCell ref="C6:C7"/>
  </mergeCells>
  <printOptions/>
  <pageMargins left="0.75" right="0.75" top="0.68" bottom="0.75" header="0.5" footer="0.5"/>
  <pageSetup firstPageNumber="19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dcterms:created xsi:type="dcterms:W3CDTF">2004-01-27T13:41:43Z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