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090" activeTab="3"/>
  </bookViews>
  <sheets>
    <sheet name="wyd" sheetId="1" r:id="rId1"/>
    <sheet name="jednostki" sheetId="2" r:id="rId2"/>
    <sheet name="Dzial 00" sheetId="3" r:id="rId3"/>
    <sheet name="Harm wydat" sheetId="4" r:id="rId4"/>
  </sheets>
  <definedNames>
    <definedName name="_xlnm.Print_Titles" localSheetId="3">'Harm wydat'!$9:$9</definedName>
    <definedName name="_xlnm.Print_Titles" localSheetId="1">'jednostki'!$9:$9</definedName>
    <definedName name="_xlnm.Print_Titles" localSheetId="0">'wyd'!$7:$7</definedName>
  </definedNames>
  <calcPr fullCalcOnLoad="1"/>
</workbook>
</file>

<file path=xl/sharedStrings.xml><?xml version="1.0" encoding="utf-8"?>
<sst xmlns="http://schemas.openxmlformats.org/spreadsheetml/2006/main" count="136" uniqueCount="68">
  <si>
    <t>Dz.</t>
  </si>
  <si>
    <t>Rozdz.</t>
  </si>
  <si>
    <t>§</t>
  </si>
  <si>
    <t>Treść</t>
  </si>
  <si>
    <t>w złotych</t>
  </si>
  <si>
    <t>Ogółem</t>
  </si>
  <si>
    <t>Wydatki na zadania własne</t>
  </si>
  <si>
    <t>Zakup usług pozostałych</t>
  </si>
  <si>
    <t>Gospodarka komunalna i ochrona środowiska</t>
  </si>
  <si>
    <t>Oczyszczanie miast i wsi</t>
  </si>
  <si>
    <t>sprzątanie przystanków i utrzymanie wiat przystankowych</t>
  </si>
  <si>
    <t>Zmniejszenie</t>
  </si>
  <si>
    <t>Zwiększenie</t>
  </si>
  <si>
    <t>Dział</t>
  </si>
  <si>
    <t>Wydatki ogółem</t>
  </si>
  <si>
    <t>z tego:</t>
  </si>
  <si>
    <t>Plan po zmianach</t>
  </si>
  <si>
    <t>Pozostała działalność</t>
  </si>
  <si>
    <t>Wydatki</t>
  </si>
  <si>
    <t xml:space="preserve">Wydatki na zadania zlecone </t>
  </si>
  <si>
    <t xml:space="preserve">Plan według uchwały    
Nr 27/III/2003                              
Rady Miasta Lublin
z 30.01.2003 r.
z późn. zm.                      </t>
  </si>
  <si>
    <t>Zwiększenia</t>
  </si>
  <si>
    <t>Zmniejszenia</t>
  </si>
  <si>
    <t>Wydatki na zadania realizowane na podstawie 
porozumień i umów</t>
  </si>
  <si>
    <t>Wydatki                                                                                                                               (Nazwa działu, rozdziału, zadania, paragrafu)</t>
  </si>
  <si>
    <t>inwestycje, w tym:</t>
  </si>
  <si>
    <t>Wydatki inwestycyjne jednostek budżetowych</t>
  </si>
  <si>
    <t>Prezydenta Miasta Lublin</t>
  </si>
  <si>
    <t>Podział planowanych dochodów i wydatków budżetu miasta</t>
  </si>
  <si>
    <t>na 2003 rok według jednostek organizacyjnych realizujących budżet</t>
  </si>
  <si>
    <t>1. Urząd Miasta</t>
  </si>
  <si>
    <t xml:space="preserve">1.2 Wydział Gospodarki Komunalnej </t>
  </si>
  <si>
    <t>Ochrona zdrowia</t>
  </si>
  <si>
    <t>Lecznictwo ambulatoryjne</t>
  </si>
  <si>
    <t>zakup świadczeń zdrowotnych</t>
  </si>
  <si>
    <t>Zakup usług zdrowotnych</t>
  </si>
  <si>
    <t>Załącznik Nr 1</t>
  </si>
  <si>
    <t>I kwartał</t>
  </si>
  <si>
    <t>II kwartał</t>
  </si>
  <si>
    <t>III kwartał</t>
  </si>
  <si>
    <t>IV kwartał</t>
  </si>
  <si>
    <t>Harmonogram realizacji wydatków budżetu miasta w 2003 roku</t>
  </si>
  <si>
    <t>Plan
na 2003 rok
z późn. zm.</t>
  </si>
  <si>
    <t>(Nazwa działu, rozdziału)</t>
  </si>
  <si>
    <t>1.2  Wydział Gospodarki Komunalnej</t>
  </si>
  <si>
    <t>1.3  Wydział Spraw Społecznych</t>
  </si>
  <si>
    <t>Załącznik Nr 2</t>
  </si>
  <si>
    <t>1.1 Wydział Geodezji i Gospodarki Nieruchomościami</t>
  </si>
  <si>
    <t>wykup gruntów</t>
  </si>
  <si>
    <t>1.3 Wydział Spraw Społecznych</t>
  </si>
  <si>
    <t>Załącznik Nr 3</t>
  </si>
  <si>
    <t>Gospodarka ściekowa i ochrona wód</t>
  </si>
  <si>
    <t>kanalizacja sanitarna dla os. Rudnik i Bursaki</t>
  </si>
  <si>
    <t>Planowane przychody i rozchody</t>
  </si>
  <si>
    <t xml:space="preserve">Przychody według uchwały 
Nr 27/III/2003 
Rady Miasta 
z 30.01.2003 r. 
z późn. zm.                                               </t>
  </si>
  <si>
    <t>Plan przychodów
 po zmianach</t>
  </si>
  <si>
    <t xml:space="preserve">Rozchody według
uchwały
Nr 27/III/2003
Rady Miasta 
z 30.01.2003 r.  
z późn. zm.                     </t>
  </si>
  <si>
    <t>Przychody z zaciągniętych pożyczek i kredytów na rynku krajowym</t>
  </si>
  <si>
    <t>Pożyczki i kredyty</t>
  </si>
  <si>
    <t>Pokrycie deficytu budżetowego - 41.761.000 zł</t>
  </si>
  <si>
    <t>1) pożyczki i kredyty - 11.761.000 zł</t>
  </si>
  <si>
    <t>2) emisja obligacji - 30.000.000 zł</t>
  </si>
  <si>
    <t>1.4 Wydział Strategii i Rozwoju</t>
  </si>
  <si>
    <t>Załącznik Nr 4</t>
  </si>
  <si>
    <t xml:space="preserve">do Zarządzenia Nr 742/2003 </t>
  </si>
  <si>
    <t xml:space="preserve">z dnia 29 października 2003 r.         </t>
  </si>
  <si>
    <t xml:space="preserve">Prezydent Miasta Lublin </t>
  </si>
  <si>
    <t>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</si>
</sst>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  <numFmt numFmtId="169" formatCode="#,##0_ ;[Red]\-#,##0\ "/>
  </numFmts>
  <fonts count="2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i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i/>
      <sz val="10"/>
      <color indexed="8"/>
      <name val="Arial CE"/>
      <family val="2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u val="single"/>
      <sz val="11"/>
      <color indexed="8"/>
      <name val="Arial CE"/>
      <family val="2"/>
    </font>
    <font>
      <b/>
      <u val="single"/>
      <sz val="11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hair"/>
    </border>
    <border>
      <left style="double"/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1" fillId="0" borderId="4" xfId="0" applyNumberFormat="1" applyFont="1" applyBorder="1" applyAlignment="1">
      <alignment wrapText="1"/>
    </xf>
    <xf numFmtId="0" fontId="3" fillId="0" borderId="3" xfId="0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3" borderId="3" xfId="0" applyFont="1" applyFill="1" applyBorder="1" applyAlignment="1">
      <alignment/>
    </xf>
    <xf numFmtId="0" fontId="0" fillId="0" borderId="6" xfId="0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wrapText="1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3" borderId="0" xfId="0" applyFont="1" applyFill="1" applyAlignment="1">
      <alignment/>
    </xf>
    <xf numFmtId="0" fontId="4" fillId="0" borderId="2" xfId="0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6" xfId="0" applyFont="1" applyBorder="1" applyAlignment="1">
      <alignment/>
    </xf>
    <xf numFmtId="3" fontId="1" fillId="3" borderId="4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/>
    </xf>
    <xf numFmtId="3" fontId="0" fillId="3" borderId="0" xfId="0" applyNumberFormat="1" applyFont="1" applyFill="1" applyAlignment="1">
      <alignment/>
    </xf>
    <xf numFmtId="3" fontId="1" fillId="2" borderId="4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wrapText="1"/>
    </xf>
    <xf numFmtId="0" fontId="0" fillId="3" borderId="1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3" fontId="3" fillId="0" borderId="5" xfId="0" applyNumberFormat="1" applyFont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11" xfId="0" applyFont="1" applyFill="1" applyBorder="1" applyAlignment="1">
      <alignment wrapText="1"/>
    </xf>
    <xf numFmtId="3" fontId="4" fillId="3" borderId="11" xfId="0" applyNumberFormat="1" applyFont="1" applyFill="1" applyBorder="1" applyAlignment="1">
      <alignment horizontal="right"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3" fontId="1" fillId="0" borderId="8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right"/>
    </xf>
    <xf numFmtId="0" fontId="1" fillId="3" borderId="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Alignment="1">
      <alignment/>
    </xf>
    <xf numFmtId="3" fontId="14" fillId="0" borderId="0" xfId="0" applyAlignment="1">
      <alignment/>
    </xf>
    <xf numFmtId="3" fontId="9" fillId="0" borderId="0" xfId="0" applyFont="1" applyAlignment="1">
      <alignment/>
    </xf>
    <xf numFmtId="0" fontId="9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Alignment="1">
      <alignment/>
    </xf>
    <xf numFmtId="0" fontId="13" fillId="0" borderId="0" xfId="0" applyFont="1" applyFill="1" applyBorder="1" applyAlignment="1">
      <alignment wrapText="1"/>
    </xf>
    <xf numFmtId="3" fontId="11" fillId="0" borderId="0" xfId="0" applyFont="1" applyAlignment="1">
      <alignment horizontal="right"/>
    </xf>
    <xf numFmtId="0" fontId="12" fillId="0" borderId="15" xfId="0" applyAlignment="1">
      <alignment/>
    </xf>
    <xf numFmtId="0" fontId="12" fillId="0" borderId="15" xfId="0" applyAlignment="1">
      <alignment horizontal="center"/>
    </xf>
    <xf numFmtId="3" fontId="12" fillId="0" borderId="15" xfId="0" applyAlignment="1">
      <alignment horizontal="center" vertical="center"/>
    </xf>
    <xf numFmtId="3" fontId="12" fillId="0" borderId="16" xfId="0" applyAlignment="1">
      <alignment horizontal="center" vertical="center"/>
    </xf>
    <xf numFmtId="0" fontId="12" fillId="0" borderId="17" xfId="0" applyAlignment="1">
      <alignment horizontal="center" vertical="top" wrapText="1"/>
    </xf>
    <xf numFmtId="0" fontId="12" fillId="0" borderId="18" xfId="0" applyFont="1" applyAlignment="1">
      <alignment horizontal="center" vertical="center"/>
    </xf>
    <xf numFmtId="3" fontId="12" fillId="0" borderId="19" xfId="0" applyAlignment="1">
      <alignment horizontal="center" vertical="top" wrapText="1"/>
    </xf>
    <xf numFmtId="0" fontId="15" fillId="0" borderId="20" xfId="0" applyAlignment="1">
      <alignment horizontal="center" vertical="center"/>
    </xf>
    <xf numFmtId="3" fontId="15" fillId="0" borderId="20" xfId="0" applyAlignment="1">
      <alignment horizontal="center" vertical="center"/>
    </xf>
    <xf numFmtId="0" fontId="16" fillId="0" borderId="21" xfId="0" applyFont="1" applyAlignment="1">
      <alignment horizontal="center" vertical="center"/>
    </xf>
    <xf numFmtId="0" fontId="12" fillId="0" borderId="22" xfId="0" applyFont="1" applyAlignment="1">
      <alignment horizontal="center" vertical="center"/>
    </xf>
    <xf numFmtId="3" fontId="12" fillId="0" borderId="22" xfId="0" applyFont="1" applyAlignment="1">
      <alignment horizontal="right"/>
    </xf>
    <xf numFmtId="0" fontId="16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9" fillId="0" borderId="23" xfId="0" applyAlignment="1">
      <alignment horizontal="center" vertical="center"/>
    </xf>
    <xf numFmtId="0" fontId="9" fillId="0" borderId="23" xfId="0" applyAlignment="1">
      <alignment horizontal="left" vertical="center"/>
    </xf>
    <xf numFmtId="3" fontId="9" fillId="0" borderId="24" xfId="0" applyNumberFormat="1" applyAlignment="1">
      <alignment horizontal="center" vertical="center"/>
    </xf>
    <xf numFmtId="3" fontId="9" fillId="0" borderId="23" xfId="0" applyNumberFormat="1" applyAlignment="1">
      <alignment horizontal="center" vertical="center"/>
    </xf>
    <xf numFmtId="3" fontId="9" fillId="0" borderId="0" xfId="0" applyNumberFormat="1" applyAlignment="1">
      <alignment/>
    </xf>
    <xf numFmtId="0" fontId="9" fillId="0" borderId="23" xfId="0" applyFill="1" applyAlignment="1">
      <alignment horizontal="center" vertical="center"/>
    </xf>
    <xf numFmtId="0" fontId="18" fillId="0" borderId="23" xfId="0" applyFont="1" applyFill="1" applyAlignment="1">
      <alignment horizontal="center" vertical="center"/>
    </xf>
    <xf numFmtId="3" fontId="18" fillId="0" borderId="24" xfId="0" applyNumberFormat="1" applyFill="1" applyAlignment="1">
      <alignment horizontal="center" vertical="center"/>
    </xf>
    <xf numFmtId="3" fontId="18" fillId="0" borderId="23" xfId="0" applyNumberFormat="1" applyFill="1" applyAlignment="1">
      <alignment horizontal="center" vertical="center"/>
    </xf>
    <xf numFmtId="0" fontId="9" fillId="0" borderId="0" xfId="0" applyFill="1" applyAlignment="1">
      <alignment/>
    </xf>
    <xf numFmtId="0" fontId="0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3" fontId="19" fillId="0" borderId="5" xfId="0" applyNumberFormat="1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2" borderId="3" xfId="0" applyNumberFormat="1" applyFont="1" applyFill="1" applyBorder="1" applyAlignment="1">
      <alignment/>
    </xf>
    <xf numFmtId="3" fontId="0" fillId="3" borderId="10" xfId="0" applyNumberFormat="1" applyFont="1" applyFill="1" applyBorder="1" applyAlignment="1">
      <alignment/>
    </xf>
    <xf numFmtId="0" fontId="9" fillId="0" borderId="23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0" fontId="1" fillId="2" borderId="4" xfId="0" applyFont="1" applyFill="1" applyBorder="1" applyAlignment="1">
      <alignment/>
    </xf>
    <xf numFmtId="3" fontId="19" fillId="0" borderId="5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0" fontId="1" fillId="2" borderId="4" xfId="0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11" fillId="0" borderId="0" xfId="0" applyNumberFormat="1" applyFont="1" applyFill="1" applyAlignment="1">
      <alignment/>
    </xf>
    <xf numFmtId="3" fontId="4" fillId="0" borderId="2" xfId="0" applyNumberFormat="1" applyFont="1" applyBorder="1" applyAlignment="1">
      <alignment horizontal="right"/>
    </xf>
    <xf numFmtId="0" fontId="9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27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right"/>
    </xf>
    <xf numFmtId="3" fontId="4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center"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" fontId="12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11</xdr:row>
      <xdr:rowOff>0</xdr:rowOff>
    </xdr:from>
    <xdr:to>
      <xdr:col>1</xdr:col>
      <xdr:colOff>523875</xdr:colOff>
      <xdr:row>11</xdr:row>
      <xdr:rowOff>0</xdr:rowOff>
    </xdr:to>
    <xdr:sp>
      <xdr:nvSpPr>
        <xdr:cNvPr id="1" name="Arc 1"/>
        <xdr:cNvSpPr>
          <a:spLocks/>
        </xdr:cNvSpPr>
      </xdr:nvSpPr>
      <xdr:spPr>
        <a:xfrm>
          <a:off x="1009650" y="23431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104900" y="23431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" name="AutoShape 1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" name="AutoShape 2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" name="AutoShape 2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" name="AutoShape 2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" name="AutoShape 2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" name="AutoShape 2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7" name="AutoShape 2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8" name="AutoShape 2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9" name="AutoShape 2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1" name="AutoShape 3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2" name="AutoShape 3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3" name="AutoShape 3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5" name="AutoShape 3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6" name="AutoShape 3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7" name="AutoShape 3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9" name="AutoShape 3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0" name="AutoShape 4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1" name="AutoShape 4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3" name="AutoShape 4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4" name="AutoShape 4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5" name="AutoShape 4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7" name="AutoShape 4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8" name="AutoShape 4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9" name="AutoShape 4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1" name="AutoShape 5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2" name="AutoShape 5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3" name="AutoShape 5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5" name="AutoShape 5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6" name="AutoShape 5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7" name="AutoShape 5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9" name="AutoShape 5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0" name="AutoShape 6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1" name="AutoShape 6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3" name="AutoShape 6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4" name="AutoShape 6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5" name="AutoShape 6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7" name="AutoShape 6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8" name="AutoShape 6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9" name="AutoShape 6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1" name="AutoShape 7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2" name="AutoShape 7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3" name="AutoShape 7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5" name="AutoShape 7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6" name="AutoShape 7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7" name="AutoShape 7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9" name="AutoShape 7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0" name="AutoShape 8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1" name="AutoShape 8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3" name="AutoShape 8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4" name="AutoShape 8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5" name="AutoShape 8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7" name="AutoShape 8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8" name="AutoShape 8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9" name="AutoShape 8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1" name="AutoShape 9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2" name="AutoShape 9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3" name="AutoShape 9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5" name="AutoShape 9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6" name="AutoShape 9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7" name="AutoShape 9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9" name="AutoShape 9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0" name="AutoShape 10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1" name="AutoShape 10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3" name="AutoShape 10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4" name="AutoShape 10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5" name="AutoShape 10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7" name="AutoShape 10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8" name="AutoShape 10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9" name="AutoShape 10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1" name="AutoShape 11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2" name="AutoShape 11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3" name="AutoShape 11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5" name="AutoShape 11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6" name="AutoShape 11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7" name="AutoShape 11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9" name="AutoShape 11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0" name="AutoShape 12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1" name="AutoShape 12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3" name="AutoShape 12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4" name="AutoShape 12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5" name="AutoShape 12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7" name="AutoShape 12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8" name="AutoShape 12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9" name="AutoShape 12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17</xdr:row>
      <xdr:rowOff>0</xdr:rowOff>
    </xdr:from>
    <xdr:to>
      <xdr:col>1</xdr:col>
      <xdr:colOff>523875</xdr:colOff>
      <xdr:row>17</xdr:row>
      <xdr:rowOff>0</xdr:rowOff>
    </xdr:to>
    <xdr:sp>
      <xdr:nvSpPr>
        <xdr:cNvPr id="131" name="Arc 131"/>
        <xdr:cNvSpPr>
          <a:spLocks/>
        </xdr:cNvSpPr>
      </xdr:nvSpPr>
      <xdr:spPr>
        <a:xfrm>
          <a:off x="1009650" y="38100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32" name="Rysowanie 11"/>
        <xdr:cNvSpPr>
          <a:spLocks/>
        </xdr:cNvSpPr>
      </xdr:nvSpPr>
      <xdr:spPr>
        <a:xfrm>
          <a:off x="1104900" y="38100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11</xdr:row>
      <xdr:rowOff>0</xdr:rowOff>
    </xdr:from>
    <xdr:to>
      <xdr:col>1</xdr:col>
      <xdr:colOff>523875</xdr:colOff>
      <xdr:row>11</xdr:row>
      <xdr:rowOff>0</xdr:rowOff>
    </xdr:to>
    <xdr:sp>
      <xdr:nvSpPr>
        <xdr:cNvPr id="133" name="Arc 133"/>
        <xdr:cNvSpPr>
          <a:spLocks/>
        </xdr:cNvSpPr>
      </xdr:nvSpPr>
      <xdr:spPr>
        <a:xfrm>
          <a:off x="1009650" y="23431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34" name="Rysowanie 11"/>
        <xdr:cNvSpPr>
          <a:spLocks/>
        </xdr:cNvSpPr>
      </xdr:nvSpPr>
      <xdr:spPr>
        <a:xfrm>
          <a:off x="1104900" y="23431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35" name="AutoShape 13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36" name="AutoShape 13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37" name="AutoShape 13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39" name="AutoShape 13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40" name="AutoShape 14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41" name="AutoShape 14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43" name="AutoShape 14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44" name="AutoShape 14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45" name="AutoShape 14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47" name="AutoShape 14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48" name="AutoShape 14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49" name="AutoShape 14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1" name="AutoShape 15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2" name="AutoShape 15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3" name="AutoShape 15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5" name="AutoShape 15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6" name="AutoShape 15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7" name="AutoShape 15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9" name="AutoShape 15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0" name="AutoShape 16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1" name="AutoShape 16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3" name="AutoShape 16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4" name="AutoShape 16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5" name="AutoShape 16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7" name="AutoShape 16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8" name="AutoShape 16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9" name="AutoShape 16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1" name="AutoShape 17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2" name="AutoShape 17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3" name="AutoShape 17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5" name="AutoShape 17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6" name="AutoShape 17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7" name="AutoShape 17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9" name="AutoShape 17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80" name="AutoShape 18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81" name="AutoShape 18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83" name="AutoShape 18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84" name="AutoShape 18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85" name="AutoShape 18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87" name="AutoShape 18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88" name="AutoShape 18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89" name="AutoShape 18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1" name="AutoShape 19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2" name="AutoShape 19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3" name="AutoShape 19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5" name="AutoShape 19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6" name="AutoShape 19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7" name="AutoShape 19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9" name="AutoShape 19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0" name="AutoShape 20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1" name="AutoShape 20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3" name="AutoShape 20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4" name="AutoShape 20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5" name="AutoShape 20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7" name="AutoShape 20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8" name="AutoShape 20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9" name="AutoShape 20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1" name="AutoShape 21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2" name="AutoShape 21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3" name="AutoShape 21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5" name="AutoShape 21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6" name="AutoShape 21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7" name="AutoShape 21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9" name="AutoShape 21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20" name="AutoShape 22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21" name="AutoShape 22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23" name="AutoShape 22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24" name="AutoShape 22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25" name="AutoShape 22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27" name="AutoShape 22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28" name="AutoShape 22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29" name="AutoShape 22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1" name="AutoShape 23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2" name="AutoShape 23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3" name="AutoShape 23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5" name="AutoShape 23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6" name="AutoShape 23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7" name="AutoShape 23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9" name="AutoShape 23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0" name="AutoShape 24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1" name="AutoShape 24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3" name="AutoShape 24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4" name="AutoShape 244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5" name="AutoShape 24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7" name="AutoShape 24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8" name="AutoShape 248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9" name="AutoShape 24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1" name="AutoShape 25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2" name="AutoShape 252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3" name="AutoShape 253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5" name="AutoShape 255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6" name="AutoShape 256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7" name="AutoShape 257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9" name="AutoShape 259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60" name="AutoShape 260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61" name="AutoShape 261"/>
        <xdr:cNvSpPr>
          <a:spLocks/>
        </xdr:cNvSpPr>
      </xdr:nvSpPr>
      <xdr:spPr>
        <a:xfrm>
          <a:off x="933450" y="25717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933450" y="25908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17</xdr:row>
      <xdr:rowOff>0</xdr:rowOff>
    </xdr:from>
    <xdr:to>
      <xdr:col>1</xdr:col>
      <xdr:colOff>523875</xdr:colOff>
      <xdr:row>17</xdr:row>
      <xdr:rowOff>0</xdr:rowOff>
    </xdr:to>
    <xdr:sp>
      <xdr:nvSpPr>
        <xdr:cNvPr id="263" name="Arc 263"/>
        <xdr:cNvSpPr>
          <a:spLocks/>
        </xdr:cNvSpPr>
      </xdr:nvSpPr>
      <xdr:spPr>
        <a:xfrm>
          <a:off x="1009650" y="38100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4" name="Rysowanie 11"/>
        <xdr:cNvSpPr>
          <a:spLocks/>
        </xdr:cNvSpPr>
      </xdr:nvSpPr>
      <xdr:spPr>
        <a:xfrm>
          <a:off x="1104900" y="38100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A19">
      <selection activeCell="A31" sqref="A31:IV32"/>
    </sheetView>
  </sheetViews>
  <sheetFormatPr defaultColWidth="9.00390625" defaultRowHeight="12.75"/>
  <cols>
    <col min="1" max="1" width="5.25390625" style="16" customWidth="1"/>
    <col min="2" max="3" width="7.75390625" style="16" customWidth="1"/>
    <col min="4" max="4" width="53.375" style="16" customWidth="1"/>
    <col min="5" max="5" width="18.75390625" style="16" customWidth="1"/>
    <col min="6" max="7" width="14.75390625" style="16" customWidth="1"/>
    <col min="8" max="8" width="18.75390625" style="16" customWidth="1"/>
    <col min="9" max="9" width="11.875" style="16" customWidth="1"/>
    <col min="10" max="10" width="12.375" style="16" customWidth="1"/>
    <col min="11" max="11" width="9.125" style="16" customWidth="1"/>
    <col min="12" max="12" width="11.00390625" style="16" customWidth="1"/>
    <col min="13" max="16384" width="9.125" style="16" customWidth="1"/>
  </cols>
  <sheetData>
    <row r="1" spans="7:8" ht="18" customHeight="1">
      <c r="G1" s="16" t="s">
        <v>36</v>
      </c>
      <c r="H1" s="62"/>
    </row>
    <row r="2" spans="7:8" ht="18" customHeight="1">
      <c r="G2" s="16" t="s">
        <v>64</v>
      </c>
      <c r="H2" s="62"/>
    </row>
    <row r="3" spans="7:8" ht="18" customHeight="1">
      <c r="G3" s="16" t="s">
        <v>27</v>
      </c>
      <c r="H3" s="62"/>
    </row>
    <row r="4" spans="4:8" ht="18" customHeight="1">
      <c r="D4" s="13" t="s">
        <v>18</v>
      </c>
      <c r="G4" s="16" t="s">
        <v>65</v>
      </c>
      <c r="H4" s="62"/>
    </row>
    <row r="5" ht="18.75" customHeight="1" thickBot="1">
      <c r="H5" s="32" t="s">
        <v>4</v>
      </c>
    </row>
    <row r="6" spans="1:8" ht="81.75" customHeight="1" thickBot="1" thickTop="1">
      <c r="A6" s="25" t="s">
        <v>0</v>
      </c>
      <c r="B6" s="25" t="s">
        <v>1</v>
      </c>
      <c r="C6" s="25" t="s">
        <v>2</v>
      </c>
      <c r="D6" s="26" t="s">
        <v>24</v>
      </c>
      <c r="E6" s="26" t="s">
        <v>20</v>
      </c>
      <c r="F6" s="26" t="s">
        <v>11</v>
      </c>
      <c r="G6" s="26" t="s">
        <v>12</v>
      </c>
      <c r="H6" s="26" t="s">
        <v>16</v>
      </c>
    </row>
    <row r="7" spans="1:8" ht="16.5" customHeight="1" thickBot="1" thickTop="1">
      <c r="A7" s="14">
        <v>1</v>
      </c>
      <c r="B7" s="14">
        <v>2</v>
      </c>
      <c r="C7" s="14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12" ht="21" customHeight="1" thickBot="1" thickTop="1">
      <c r="A8" s="21"/>
      <c r="B8" s="34"/>
      <c r="C8" s="34"/>
      <c r="D8" s="35" t="s">
        <v>14</v>
      </c>
      <c r="E8" s="36">
        <v>673389424</v>
      </c>
      <c r="F8" s="36">
        <f>F10+F27+F28</f>
        <v>250000</v>
      </c>
      <c r="G8" s="36">
        <f>G10+G27+G28</f>
        <v>890000</v>
      </c>
      <c r="H8" s="36">
        <f>E8+G8-F8</f>
        <v>674029424</v>
      </c>
      <c r="I8" s="20"/>
      <c r="J8" s="20"/>
      <c r="K8" s="20"/>
      <c r="L8" s="20"/>
    </row>
    <row r="9" spans="1:10" ht="12.75" customHeight="1">
      <c r="A9" s="7"/>
      <c r="B9" s="7"/>
      <c r="C9" s="7"/>
      <c r="D9" s="7" t="s">
        <v>15</v>
      </c>
      <c r="E9" s="37"/>
      <c r="F9" s="37"/>
      <c r="G9" s="37"/>
      <c r="H9" s="37"/>
      <c r="J9" s="38"/>
    </row>
    <row r="10" spans="1:12" ht="19.5" customHeight="1" thickBot="1">
      <c r="A10" s="39"/>
      <c r="B10" s="39"/>
      <c r="C10" s="39"/>
      <c r="D10" s="3" t="s">
        <v>6</v>
      </c>
      <c r="E10" s="40">
        <v>616088896</v>
      </c>
      <c r="F10" s="40">
        <f>F11+F15</f>
        <v>250000</v>
      </c>
      <c r="G10" s="40">
        <f>G11+G15</f>
        <v>890000</v>
      </c>
      <c r="H10" s="40">
        <f>E10+G10-F10</f>
        <v>616728896</v>
      </c>
      <c r="J10" s="20"/>
      <c r="L10" s="20"/>
    </row>
    <row r="11" spans="1:9" s="17" customFormat="1" ht="19.5" customHeight="1" thickTop="1">
      <c r="A11" s="28">
        <v>851</v>
      </c>
      <c r="B11" s="4"/>
      <c r="C11" s="4"/>
      <c r="D11" s="29" t="s">
        <v>32</v>
      </c>
      <c r="E11" s="5">
        <v>9186000</v>
      </c>
      <c r="F11" s="30"/>
      <c r="G11" s="30">
        <f>G12</f>
        <v>250000</v>
      </c>
      <c r="H11" s="30">
        <f aca="true" t="shared" si="0" ref="H11:H26">E11-F11+G11</f>
        <v>9436000</v>
      </c>
      <c r="I11" s="53"/>
    </row>
    <row r="12" spans="1:9" s="57" customFormat="1" ht="18.75" customHeight="1">
      <c r="A12" s="56"/>
      <c r="B12" s="86">
        <v>85121</v>
      </c>
      <c r="C12" s="86"/>
      <c r="D12" s="58" t="s">
        <v>33</v>
      </c>
      <c r="E12" s="48">
        <v>3976000</v>
      </c>
      <c r="F12" s="11"/>
      <c r="G12" s="11">
        <f>G13</f>
        <v>250000</v>
      </c>
      <c r="H12" s="11">
        <f t="shared" si="0"/>
        <v>4226000</v>
      </c>
      <c r="I12" s="53"/>
    </row>
    <row r="13" spans="1:9" s="17" customFormat="1" ht="18.75" customHeight="1">
      <c r="A13" s="7"/>
      <c r="B13" s="7"/>
      <c r="C13" s="7"/>
      <c r="D13" s="23" t="s">
        <v>34</v>
      </c>
      <c r="E13" s="24">
        <v>2260000</v>
      </c>
      <c r="F13" s="24"/>
      <c r="G13" s="24">
        <f>G14</f>
        <v>250000</v>
      </c>
      <c r="H13" s="24">
        <f t="shared" si="0"/>
        <v>2510000</v>
      </c>
      <c r="I13" s="53"/>
    </row>
    <row r="14" spans="1:9" s="61" customFormat="1" ht="18.75" customHeight="1">
      <c r="A14" s="12"/>
      <c r="B14" s="12"/>
      <c r="C14" s="12">
        <v>4280</v>
      </c>
      <c r="D14" s="67" t="s">
        <v>35</v>
      </c>
      <c r="E14" s="68">
        <v>2260000</v>
      </c>
      <c r="F14" s="68"/>
      <c r="G14" s="68">
        <v>250000</v>
      </c>
      <c r="H14" s="68">
        <f t="shared" si="0"/>
        <v>2510000</v>
      </c>
      <c r="I14" s="53"/>
    </row>
    <row r="15" spans="1:9" s="17" customFormat="1" ht="19.5" customHeight="1">
      <c r="A15" s="28">
        <v>900</v>
      </c>
      <c r="B15" s="4"/>
      <c r="C15" s="4"/>
      <c r="D15" s="29" t="s">
        <v>8</v>
      </c>
      <c r="E15" s="30">
        <v>33146160</v>
      </c>
      <c r="F15" s="30">
        <f>F16+F20+F23</f>
        <v>250000</v>
      </c>
      <c r="G15" s="30">
        <f>G16+G20+G23</f>
        <v>640000</v>
      </c>
      <c r="H15" s="30">
        <f t="shared" si="0"/>
        <v>33536160</v>
      </c>
      <c r="I15" s="53"/>
    </row>
    <row r="16" spans="1:9" s="57" customFormat="1" ht="19.5" customHeight="1">
      <c r="A16" s="21"/>
      <c r="B16" s="6">
        <v>90001</v>
      </c>
      <c r="C16" s="6"/>
      <c r="D16" s="58" t="s">
        <v>51</v>
      </c>
      <c r="E16" s="49">
        <v>4783800</v>
      </c>
      <c r="F16" s="11"/>
      <c r="G16" s="11">
        <f>G17</f>
        <v>640000</v>
      </c>
      <c r="H16" s="11">
        <f t="shared" si="0"/>
        <v>5423800</v>
      </c>
      <c r="I16" s="53"/>
    </row>
    <row r="17" spans="1:9" s="17" customFormat="1" ht="18.75" customHeight="1">
      <c r="A17" s="7"/>
      <c r="B17" s="45"/>
      <c r="C17" s="45"/>
      <c r="D17" s="46" t="s">
        <v>25</v>
      </c>
      <c r="E17" s="24">
        <v>2068000</v>
      </c>
      <c r="F17" s="24"/>
      <c r="G17" s="24">
        <f>G19</f>
        <v>640000</v>
      </c>
      <c r="H17" s="24">
        <f t="shared" si="0"/>
        <v>2708000</v>
      </c>
      <c r="I17" s="53"/>
    </row>
    <row r="18" spans="1:9" s="61" customFormat="1" ht="18.75" customHeight="1">
      <c r="A18" s="10"/>
      <c r="B18" s="10"/>
      <c r="C18" s="10"/>
      <c r="D18" s="70" t="s">
        <v>52</v>
      </c>
      <c r="E18" s="71"/>
      <c r="F18" s="71"/>
      <c r="G18" s="71">
        <v>640000</v>
      </c>
      <c r="H18" s="71">
        <f t="shared" si="0"/>
        <v>640000</v>
      </c>
      <c r="I18" s="53"/>
    </row>
    <row r="19" spans="1:9" s="61" customFormat="1" ht="18.75" customHeight="1">
      <c r="A19" s="10"/>
      <c r="B19" s="10"/>
      <c r="C19" s="12">
        <v>6050</v>
      </c>
      <c r="D19" s="12" t="s">
        <v>26</v>
      </c>
      <c r="E19" s="68">
        <v>2068000</v>
      </c>
      <c r="F19" s="68"/>
      <c r="G19" s="68">
        <f>G18</f>
        <v>640000</v>
      </c>
      <c r="H19" s="68">
        <f t="shared" si="0"/>
        <v>2708000</v>
      </c>
      <c r="I19" s="53"/>
    </row>
    <row r="20" spans="1:9" s="57" customFormat="1" ht="19.5" customHeight="1">
      <c r="A20" s="21"/>
      <c r="B20" s="86">
        <v>90003</v>
      </c>
      <c r="C20" s="86"/>
      <c r="D20" s="58" t="s">
        <v>9</v>
      </c>
      <c r="E20" s="49">
        <v>17152000</v>
      </c>
      <c r="F20" s="11">
        <f>F21</f>
        <v>150000</v>
      </c>
      <c r="G20" s="11"/>
      <c r="H20" s="11">
        <f t="shared" si="0"/>
        <v>17002000</v>
      </c>
      <c r="I20" s="53"/>
    </row>
    <row r="21" spans="1:12" s="17" customFormat="1" ht="18.75" customHeight="1">
      <c r="A21" s="7"/>
      <c r="B21" s="7"/>
      <c r="C21" s="7"/>
      <c r="D21" s="51" t="s">
        <v>10</v>
      </c>
      <c r="E21" s="47">
        <v>900000</v>
      </c>
      <c r="F21" s="47">
        <f>F22</f>
        <v>150000</v>
      </c>
      <c r="G21" s="47"/>
      <c r="H21" s="47">
        <f t="shared" si="0"/>
        <v>750000</v>
      </c>
      <c r="J21" s="69"/>
      <c r="L21" s="69"/>
    </row>
    <row r="22" spans="1:12" s="61" customFormat="1" ht="18.75" customHeight="1">
      <c r="A22" s="10"/>
      <c r="B22" s="10"/>
      <c r="C22" s="10">
        <v>4300</v>
      </c>
      <c r="D22" s="10" t="s">
        <v>7</v>
      </c>
      <c r="E22" s="63">
        <v>900000</v>
      </c>
      <c r="F22" s="63">
        <v>150000</v>
      </c>
      <c r="G22" s="63"/>
      <c r="H22" s="63">
        <f t="shared" si="0"/>
        <v>750000</v>
      </c>
      <c r="J22" s="60"/>
      <c r="L22" s="60"/>
    </row>
    <row r="23" spans="1:9" s="57" customFormat="1" ht="19.5" customHeight="1">
      <c r="A23" s="21"/>
      <c r="B23" s="6">
        <v>90095</v>
      </c>
      <c r="C23" s="6"/>
      <c r="D23" s="58" t="s">
        <v>17</v>
      </c>
      <c r="E23" s="11">
        <v>4556190</v>
      </c>
      <c r="F23" s="11">
        <f>F24</f>
        <v>100000</v>
      </c>
      <c r="G23" s="11"/>
      <c r="H23" s="11">
        <f t="shared" si="0"/>
        <v>4456190</v>
      </c>
      <c r="I23" s="53"/>
    </row>
    <row r="24" spans="1:9" s="17" customFormat="1" ht="18.75" customHeight="1">
      <c r="A24" s="7"/>
      <c r="B24" s="45"/>
      <c r="C24" s="45"/>
      <c r="D24" s="46" t="s">
        <v>25</v>
      </c>
      <c r="E24" s="24">
        <v>4458000</v>
      </c>
      <c r="F24" s="24">
        <f>F26</f>
        <v>100000</v>
      </c>
      <c r="G24" s="24"/>
      <c r="H24" s="24">
        <f t="shared" si="0"/>
        <v>4358000</v>
      </c>
      <c r="I24" s="53"/>
    </row>
    <row r="25" spans="1:9" s="61" customFormat="1" ht="18.75" customHeight="1">
      <c r="A25" s="10"/>
      <c r="B25" s="10"/>
      <c r="C25" s="10"/>
      <c r="D25" s="70" t="s">
        <v>48</v>
      </c>
      <c r="E25" s="71">
        <v>1500000</v>
      </c>
      <c r="F25" s="71">
        <v>100000</v>
      </c>
      <c r="G25" s="71"/>
      <c r="H25" s="71">
        <f t="shared" si="0"/>
        <v>1400000</v>
      </c>
      <c r="I25" s="53"/>
    </row>
    <row r="26" spans="1:9" s="61" customFormat="1" ht="18.75" customHeight="1">
      <c r="A26" s="10"/>
      <c r="B26" s="10"/>
      <c r="C26" s="12">
        <v>6050</v>
      </c>
      <c r="D26" s="12" t="s">
        <v>26</v>
      </c>
      <c r="E26" s="68">
        <v>4458000</v>
      </c>
      <c r="F26" s="68">
        <f>F25</f>
        <v>100000</v>
      </c>
      <c r="G26" s="68"/>
      <c r="H26" s="68">
        <f t="shared" si="0"/>
        <v>4358000</v>
      </c>
      <c r="I26" s="53"/>
    </row>
    <row r="27" spans="1:12" s="41" customFormat="1" ht="30" customHeight="1" thickBot="1">
      <c r="A27" s="7"/>
      <c r="B27" s="7"/>
      <c r="C27" s="7"/>
      <c r="D27" s="42" t="s">
        <v>23</v>
      </c>
      <c r="E27" s="43">
        <v>2839358</v>
      </c>
      <c r="F27" s="43"/>
      <c r="G27" s="43"/>
      <c r="H27" s="43">
        <f>E27+G27-F27</f>
        <v>2839358</v>
      </c>
      <c r="J27" s="54"/>
      <c r="L27" s="54"/>
    </row>
    <row r="28" spans="1:8" s="19" customFormat="1" ht="18.75" customHeight="1" thickBot="1" thickTop="1">
      <c r="A28" s="64"/>
      <c r="B28" s="31"/>
      <c r="C28" s="31"/>
      <c r="D28" s="65" t="s">
        <v>19</v>
      </c>
      <c r="E28" s="66">
        <v>54461170</v>
      </c>
      <c r="F28" s="66"/>
      <c r="G28" s="66"/>
      <c r="H28" s="66">
        <f>E28-F28+G28</f>
        <v>54461170</v>
      </c>
    </row>
    <row r="31" ht="15">
      <c r="G31" s="153" t="s">
        <v>66</v>
      </c>
    </row>
    <row r="32" ht="15">
      <c r="G32" s="153" t="s">
        <v>67</v>
      </c>
    </row>
  </sheetData>
  <printOptions horizontalCentered="1"/>
  <pageMargins left="0.5905511811023623" right="0.5905511811023623" top="0.4724409448818898" bottom="0.4724409448818898" header="0.5118110236220472" footer="0.31496062992125984"/>
  <pageSetup firstPageNumber="2" useFirstPageNumber="1" horizontalDpi="300" verticalDpi="3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="75" zoomScaleNormal="75" workbookViewId="0" topLeftCell="A30">
      <selection activeCell="D45" sqref="D45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6.00390625" style="0" customWidth="1"/>
    <col min="4" max="4" width="68.00390625" style="0" customWidth="1"/>
    <col min="5" max="6" width="22.75390625" style="0" customWidth="1"/>
    <col min="7" max="7" width="14.25390625" style="0" customWidth="1"/>
    <col min="8" max="8" width="10.375" style="0" bestFit="1" customWidth="1"/>
  </cols>
  <sheetData>
    <row r="1" ht="15" customHeight="1">
      <c r="E1" s="16" t="s">
        <v>46</v>
      </c>
    </row>
    <row r="2" spans="5:6" ht="15" customHeight="1">
      <c r="E2" s="16" t="s">
        <v>64</v>
      </c>
      <c r="F2" s="15"/>
    </row>
    <row r="3" spans="5:6" ht="15" customHeight="1">
      <c r="E3" s="16" t="s">
        <v>27</v>
      </c>
      <c r="F3" s="15"/>
    </row>
    <row r="4" spans="1:6" ht="15.75">
      <c r="A4" s="13" t="s">
        <v>28</v>
      </c>
      <c r="E4" s="16" t="s">
        <v>65</v>
      </c>
      <c r="F4" s="15"/>
    </row>
    <row r="5" spans="1:4" ht="15.75">
      <c r="A5" s="13" t="s">
        <v>29</v>
      </c>
      <c r="D5" s="13"/>
    </row>
    <row r="6" ht="16.5" thickBot="1">
      <c r="A6" s="13"/>
    </row>
    <row r="7" spans="1:6" ht="18" customHeight="1" thickBot="1" thickTop="1">
      <c r="A7" s="72"/>
      <c r="B7" s="72"/>
      <c r="C7" s="44"/>
      <c r="D7" s="72" t="s">
        <v>3</v>
      </c>
      <c r="E7" s="173" t="s">
        <v>18</v>
      </c>
      <c r="F7" s="174"/>
    </row>
    <row r="8" spans="1:6" ht="19.5" customHeight="1" thickBot="1" thickTop="1">
      <c r="A8" s="73" t="s">
        <v>0</v>
      </c>
      <c r="B8" s="73" t="s">
        <v>1</v>
      </c>
      <c r="C8" s="73" t="s">
        <v>2</v>
      </c>
      <c r="D8" s="74"/>
      <c r="E8" s="75" t="s">
        <v>22</v>
      </c>
      <c r="F8" s="75" t="s">
        <v>21</v>
      </c>
    </row>
    <row r="9" spans="1:6" ht="14.25" thickBot="1" thickTop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8" ht="24.75" customHeight="1" thickBot="1" thickTop="1">
      <c r="A10" s="76"/>
      <c r="B10" s="76"/>
      <c r="C10" s="76"/>
      <c r="D10" s="77" t="s">
        <v>5</v>
      </c>
      <c r="E10" s="78">
        <f>E11</f>
        <v>250000</v>
      </c>
      <c r="F10" s="78">
        <f>F11</f>
        <v>890000</v>
      </c>
      <c r="G10" s="2"/>
      <c r="H10" s="2"/>
    </row>
    <row r="11" spans="1:6" ht="21" customHeight="1">
      <c r="A11" s="79"/>
      <c r="B11" s="79"/>
      <c r="C11" s="79"/>
      <c r="D11" s="83" t="s">
        <v>30</v>
      </c>
      <c r="E11" s="80">
        <f>E12+E19+E26+E32</f>
        <v>250000</v>
      </c>
      <c r="F11" s="80">
        <f>F12+F19+F26+F32</f>
        <v>890000</v>
      </c>
    </row>
    <row r="12" spans="1:6" ht="21" customHeight="1">
      <c r="A12" s="7"/>
      <c r="B12" s="7"/>
      <c r="C12" s="7"/>
      <c r="D12" s="82" t="s">
        <v>47</v>
      </c>
      <c r="E12" s="81">
        <f>E13</f>
        <v>100000</v>
      </c>
      <c r="F12" s="81"/>
    </row>
    <row r="13" spans="1:6" ht="21" customHeight="1" thickBot="1">
      <c r="A13" s="18"/>
      <c r="B13" s="18"/>
      <c r="C13" s="18"/>
      <c r="D13" s="42" t="s">
        <v>6</v>
      </c>
      <c r="E13" s="43">
        <f>E14</f>
        <v>100000</v>
      </c>
      <c r="F13" s="27"/>
    </row>
    <row r="14" spans="1:6" ht="21" customHeight="1" thickTop="1">
      <c r="A14" s="28">
        <v>900</v>
      </c>
      <c r="B14" s="4"/>
      <c r="C14" s="4"/>
      <c r="D14" s="29" t="s">
        <v>8</v>
      </c>
      <c r="E14" s="5">
        <f>E15</f>
        <v>100000</v>
      </c>
      <c r="F14" s="30"/>
    </row>
    <row r="15" spans="1:6" ht="21" customHeight="1">
      <c r="A15" s="7"/>
      <c r="B15" s="6">
        <v>90095</v>
      </c>
      <c r="C15" s="6"/>
      <c r="D15" s="58" t="s">
        <v>17</v>
      </c>
      <c r="E15" s="11">
        <f>E16</f>
        <v>100000</v>
      </c>
      <c r="F15" s="52"/>
    </row>
    <row r="16" spans="1:6" ht="21" customHeight="1">
      <c r="A16" s="7"/>
      <c r="B16" s="45"/>
      <c r="C16" s="45"/>
      <c r="D16" s="46" t="s">
        <v>25</v>
      </c>
      <c r="E16" s="24">
        <f>E18</f>
        <v>100000</v>
      </c>
      <c r="F16" s="24"/>
    </row>
    <row r="17" spans="1:6" ht="21" customHeight="1">
      <c r="A17" s="7"/>
      <c r="B17" s="10"/>
      <c r="C17" s="10"/>
      <c r="D17" s="70" t="s">
        <v>48</v>
      </c>
      <c r="E17" s="71">
        <v>100000</v>
      </c>
      <c r="F17" s="71"/>
    </row>
    <row r="18" spans="1:6" ht="21" customHeight="1">
      <c r="A18" s="10"/>
      <c r="B18" s="10"/>
      <c r="C18" s="12">
        <v>6050</v>
      </c>
      <c r="D18" s="12" t="s">
        <v>26</v>
      </c>
      <c r="E18" s="68">
        <f>E17</f>
        <v>100000</v>
      </c>
      <c r="F18" s="68"/>
    </row>
    <row r="19" spans="1:6" ht="21" customHeight="1">
      <c r="A19" s="7"/>
      <c r="B19" s="7"/>
      <c r="C19" s="45"/>
      <c r="D19" s="82" t="s">
        <v>31</v>
      </c>
      <c r="E19" s="85">
        <f>E20</f>
        <v>150000</v>
      </c>
      <c r="F19" s="85"/>
    </row>
    <row r="20" spans="1:6" ht="21" customHeight="1" thickBot="1">
      <c r="A20" s="18"/>
      <c r="B20" s="18"/>
      <c r="C20" s="18"/>
      <c r="D20" s="126" t="s">
        <v>6</v>
      </c>
      <c r="E20" s="140">
        <f>E21</f>
        <v>150000</v>
      </c>
      <c r="F20" s="140"/>
    </row>
    <row r="21" spans="1:6" ht="21" customHeight="1" thickTop="1">
      <c r="A21" s="28">
        <v>900</v>
      </c>
      <c r="B21" s="4"/>
      <c r="C21" s="4"/>
      <c r="D21" s="29" t="s">
        <v>8</v>
      </c>
      <c r="E21" s="30">
        <f>E22</f>
        <v>150000</v>
      </c>
      <c r="F21" s="30"/>
    </row>
    <row r="22" spans="1:6" ht="21" customHeight="1">
      <c r="A22" s="56"/>
      <c r="B22" s="22">
        <v>90003</v>
      </c>
      <c r="C22" s="22"/>
      <c r="D22" s="50" t="s">
        <v>9</v>
      </c>
      <c r="E22" s="49">
        <f>E23</f>
        <v>150000</v>
      </c>
      <c r="F22" s="49"/>
    </row>
    <row r="23" spans="1:6" ht="21" customHeight="1">
      <c r="A23" s="7"/>
      <c r="B23" s="7"/>
      <c r="C23" s="7"/>
      <c r="D23" s="51" t="s">
        <v>10</v>
      </c>
      <c r="E23" s="47">
        <f>E24</f>
        <v>150000</v>
      </c>
      <c r="F23" s="47"/>
    </row>
    <row r="24" spans="1:6" ht="21" customHeight="1">
      <c r="A24" s="10"/>
      <c r="B24" s="10"/>
      <c r="C24" s="10">
        <v>4300</v>
      </c>
      <c r="D24" s="10" t="s">
        <v>7</v>
      </c>
      <c r="E24" s="63">
        <v>150000</v>
      </c>
      <c r="F24" s="63"/>
    </row>
    <row r="25" spans="1:6" ht="44.25" customHeight="1">
      <c r="A25" s="170"/>
      <c r="B25" s="170"/>
      <c r="C25" s="170"/>
      <c r="D25" s="170"/>
      <c r="E25" s="171"/>
      <c r="F25" s="171"/>
    </row>
    <row r="26" spans="1:6" ht="21" customHeight="1">
      <c r="A26" s="7"/>
      <c r="B26" s="7"/>
      <c r="C26" s="7"/>
      <c r="D26" s="82" t="s">
        <v>49</v>
      </c>
      <c r="E26" s="169"/>
      <c r="F26" s="169">
        <f>F27</f>
        <v>250000</v>
      </c>
    </row>
    <row r="27" spans="1:6" ht="21" customHeight="1" thickBot="1">
      <c r="A27" s="18"/>
      <c r="B27" s="18"/>
      <c r="C27" s="18"/>
      <c r="D27" s="3" t="s">
        <v>6</v>
      </c>
      <c r="E27" s="140"/>
      <c r="F27" s="140">
        <f>F28</f>
        <v>250000</v>
      </c>
    </row>
    <row r="28" spans="1:6" ht="21" customHeight="1" thickTop="1">
      <c r="A28" s="28">
        <v>851</v>
      </c>
      <c r="B28" s="4"/>
      <c r="C28" s="4"/>
      <c r="D28" s="29" t="s">
        <v>32</v>
      </c>
      <c r="E28" s="30"/>
      <c r="F28" s="30">
        <f>F29</f>
        <v>250000</v>
      </c>
    </row>
    <row r="29" spans="1:6" ht="21" customHeight="1">
      <c r="A29" s="56"/>
      <c r="B29" s="86">
        <v>85121</v>
      </c>
      <c r="C29" s="86"/>
      <c r="D29" s="58" t="s">
        <v>33</v>
      </c>
      <c r="E29" s="11"/>
      <c r="F29" s="11">
        <f>F30</f>
        <v>250000</v>
      </c>
    </row>
    <row r="30" spans="1:6" ht="21" customHeight="1">
      <c r="A30" s="7"/>
      <c r="B30" s="7"/>
      <c r="C30" s="7"/>
      <c r="D30" s="23" t="s">
        <v>34</v>
      </c>
      <c r="E30" s="24"/>
      <c r="F30" s="24">
        <f>F31</f>
        <v>250000</v>
      </c>
    </row>
    <row r="31" spans="1:6" ht="21" customHeight="1">
      <c r="A31" s="10"/>
      <c r="B31" s="10"/>
      <c r="C31" s="12">
        <v>4280</v>
      </c>
      <c r="D31" s="67" t="s">
        <v>35</v>
      </c>
      <c r="E31" s="68"/>
      <c r="F31" s="68">
        <v>250000</v>
      </c>
    </row>
    <row r="32" spans="1:6" ht="19.5" customHeight="1">
      <c r="A32" s="7"/>
      <c r="B32" s="7"/>
      <c r="C32" s="7"/>
      <c r="D32" s="82" t="s">
        <v>62</v>
      </c>
      <c r="E32" s="81"/>
      <c r="F32" s="84">
        <f>F33</f>
        <v>640000</v>
      </c>
    </row>
    <row r="33" spans="1:6" ht="19.5" customHeight="1" thickBot="1">
      <c r="A33" s="18"/>
      <c r="B33" s="18"/>
      <c r="C33" s="18"/>
      <c r="D33" s="42" t="s">
        <v>6</v>
      </c>
      <c r="E33" s="43"/>
      <c r="F33" s="140">
        <f>F34</f>
        <v>640000</v>
      </c>
    </row>
    <row r="34" spans="1:6" ht="19.5" customHeight="1" thickTop="1">
      <c r="A34" s="28">
        <v>900</v>
      </c>
      <c r="B34" s="4"/>
      <c r="C34" s="4"/>
      <c r="D34" s="29" t="s">
        <v>8</v>
      </c>
      <c r="E34" s="5"/>
      <c r="F34" s="30">
        <f>F35+F39+F42</f>
        <v>640000</v>
      </c>
    </row>
    <row r="35" spans="1:6" ht="19.5" customHeight="1">
      <c r="A35" s="7"/>
      <c r="B35" s="6">
        <v>90001</v>
      </c>
      <c r="C35" s="6"/>
      <c r="D35" s="58" t="s">
        <v>51</v>
      </c>
      <c r="E35" s="11"/>
      <c r="F35" s="11">
        <f>F36</f>
        <v>640000</v>
      </c>
    </row>
    <row r="36" spans="1:6" ht="19.5" customHeight="1">
      <c r="A36" s="7"/>
      <c r="B36" s="45"/>
      <c r="C36" s="45"/>
      <c r="D36" s="46" t="s">
        <v>25</v>
      </c>
      <c r="E36" s="24"/>
      <c r="F36" s="24">
        <f>F38</f>
        <v>640000</v>
      </c>
    </row>
    <row r="37" spans="1:6" ht="19.5" customHeight="1">
      <c r="A37" s="7"/>
      <c r="B37" s="10"/>
      <c r="C37" s="10"/>
      <c r="D37" s="70" t="s">
        <v>52</v>
      </c>
      <c r="E37" s="71"/>
      <c r="F37" s="71">
        <v>640000</v>
      </c>
    </row>
    <row r="38" spans="1:6" ht="19.5" customHeight="1">
      <c r="A38" s="12"/>
      <c r="B38" s="12"/>
      <c r="C38" s="12">
        <v>6050</v>
      </c>
      <c r="D38" s="12" t="s">
        <v>26</v>
      </c>
      <c r="E38" s="68"/>
      <c r="F38" s="68">
        <f>F37</f>
        <v>640000</v>
      </c>
    </row>
    <row r="40" s="16" customFormat="1" ht="15">
      <c r="E40" s="153" t="s">
        <v>66</v>
      </c>
    </row>
    <row r="41" s="16" customFormat="1" ht="15">
      <c r="E41" s="153" t="s">
        <v>67</v>
      </c>
    </row>
  </sheetData>
  <mergeCells count="1">
    <mergeCell ref="E7:F7"/>
  </mergeCells>
  <printOptions horizontalCentered="1"/>
  <pageMargins left="0.5905511811023623" right="0.5905511811023623" top="0.6692913385826772" bottom="0.5905511811023623" header="0.5118110236220472" footer="0.35433070866141736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workbookViewId="0" topLeftCell="A6">
      <selection activeCell="E21" sqref="E21"/>
    </sheetView>
  </sheetViews>
  <sheetFormatPr defaultColWidth="9.00390625" defaultRowHeight="12.75"/>
  <cols>
    <col min="1" max="1" width="7.125" style="0" customWidth="1"/>
    <col min="2" max="2" width="49.00390625" style="0" customWidth="1"/>
    <col min="3" max="3" width="18.375" style="0" customWidth="1"/>
    <col min="4" max="4" width="17.25390625" style="0" customWidth="1"/>
    <col min="5" max="5" width="18.75390625" style="0" customWidth="1"/>
    <col min="6" max="6" width="18.25390625" style="0" customWidth="1"/>
    <col min="8" max="8" width="12.125" style="0" customWidth="1"/>
  </cols>
  <sheetData>
    <row r="1" ht="15" customHeight="1">
      <c r="E1" t="s">
        <v>50</v>
      </c>
    </row>
    <row r="2" spans="2:5" ht="15" customHeight="1">
      <c r="B2" s="145" t="s">
        <v>53</v>
      </c>
      <c r="E2" s="16" t="s">
        <v>64</v>
      </c>
    </row>
    <row r="3" spans="1:5" ht="15" customHeight="1">
      <c r="A3" s="146"/>
      <c r="B3" s="145"/>
      <c r="E3" s="16" t="s">
        <v>27</v>
      </c>
    </row>
    <row r="4" spans="1:5" ht="15" customHeight="1">
      <c r="A4" s="146"/>
      <c r="B4" s="145"/>
      <c r="E4" s="16" t="s">
        <v>65</v>
      </c>
    </row>
    <row r="5" spans="1:2" ht="12.75">
      <c r="A5" s="146"/>
      <c r="B5" s="147"/>
    </row>
    <row r="6" spans="1:6" ht="18.75" customHeight="1" thickBot="1">
      <c r="A6" s="148"/>
      <c r="B6" s="148"/>
      <c r="C6" s="148"/>
      <c r="D6" s="148"/>
      <c r="E6" s="148"/>
      <c r="F6" s="149" t="s">
        <v>4</v>
      </c>
    </row>
    <row r="7" spans="1:7" ht="90" customHeight="1" thickBot="1" thickTop="1">
      <c r="A7" s="150" t="s">
        <v>2</v>
      </c>
      <c r="B7" s="150" t="s">
        <v>3</v>
      </c>
      <c r="C7" s="26" t="s">
        <v>54</v>
      </c>
      <c r="D7" s="150" t="s">
        <v>12</v>
      </c>
      <c r="E7" s="151" t="s">
        <v>55</v>
      </c>
      <c r="F7" s="152" t="s">
        <v>56</v>
      </c>
      <c r="G7" s="153"/>
    </row>
    <row r="8" spans="1:6" s="15" customFormat="1" ht="12.75" customHeight="1" thickBot="1" thickTop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54">
        <v>6</v>
      </c>
    </row>
    <row r="9" spans="1:6" s="15" customFormat="1" ht="24.75" customHeight="1" thickTop="1">
      <c r="A9" s="155"/>
      <c r="B9" s="156" t="s">
        <v>5</v>
      </c>
      <c r="C9" s="157">
        <v>44621000</v>
      </c>
      <c r="D9" s="158">
        <f>D10</f>
        <v>640000</v>
      </c>
      <c r="E9" s="159">
        <f>C9+D9</f>
        <v>45261000</v>
      </c>
      <c r="F9" s="160">
        <v>18983000</v>
      </c>
    </row>
    <row r="10" spans="1:8" s="163" customFormat="1" ht="30" customHeight="1">
      <c r="A10" s="6">
        <v>952</v>
      </c>
      <c r="B10" s="58" t="s">
        <v>57</v>
      </c>
      <c r="C10" s="48">
        <v>11121000</v>
      </c>
      <c r="D10" s="48">
        <f>D11</f>
        <v>640000</v>
      </c>
      <c r="E10" s="161">
        <f>D10+C10</f>
        <v>11761000</v>
      </c>
      <c r="F10" s="162"/>
      <c r="H10" s="38"/>
    </row>
    <row r="11" spans="1:6" ht="21.75" customHeight="1">
      <c r="A11" s="18"/>
      <c r="B11" s="164" t="s">
        <v>58</v>
      </c>
      <c r="C11" s="165">
        <v>11121000</v>
      </c>
      <c r="D11" s="165">
        <v>640000</v>
      </c>
      <c r="E11" s="166">
        <f>C11+D11</f>
        <v>11761000</v>
      </c>
      <c r="F11" s="167"/>
    </row>
    <row r="13" spans="1:5" ht="15">
      <c r="A13" s="153"/>
      <c r="B13" s="61" t="s">
        <v>59</v>
      </c>
      <c r="C13" s="168"/>
      <c r="D13" s="19"/>
      <c r="E13" s="2"/>
    </row>
    <row r="15" spans="2:5" ht="12.75">
      <c r="B15" t="s">
        <v>60</v>
      </c>
      <c r="E15" s="2"/>
    </row>
    <row r="16" ht="12.75">
      <c r="B16" t="s">
        <v>61</v>
      </c>
    </row>
    <row r="18" s="16" customFormat="1" ht="15">
      <c r="E18" s="153" t="s">
        <v>66</v>
      </c>
    </row>
    <row r="19" s="16" customFormat="1" ht="15">
      <c r="E19" s="153" t="s">
        <v>67</v>
      </c>
    </row>
  </sheetData>
  <printOptions horizontalCentered="1"/>
  <pageMargins left="0.5905511811023623" right="0.5905511811023623" top="0.6692913385826772" bottom="0.5905511811023623" header="0.5118110236220472" footer="0.5118110236220472"/>
  <pageSetup firstPageNumber="5" useFirstPageNumber="1"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75" zoomScaleNormal="75" workbookViewId="0" topLeftCell="A1">
      <selection activeCell="L25" sqref="L25"/>
    </sheetView>
  </sheetViews>
  <sheetFormatPr defaultColWidth="9.00390625" defaultRowHeight="12.75"/>
  <cols>
    <col min="1" max="1" width="6.375" style="0" customWidth="1"/>
    <col min="2" max="2" width="8.125" style="0" customWidth="1"/>
    <col min="3" max="3" width="57.00390625" style="0" customWidth="1"/>
    <col min="4" max="4" width="16.75390625" style="0" customWidth="1"/>
    <col min="5" max="8" width="15.75390625" style="0" customWidth="1"/>
    <col min="9" max="9" width="12.75390625" style="0" customWidth="1"/>
    <col min="10" max="11" width="13.375" style="0" customWidth="1"/>
    <col min="12" max="16384" width="11.375" style="0" customWidth="1"/>
  </cols>
  <sheetData>
    <row r="1" spans="1:10" ht="18" customHeight="1">
      <c r="A1" s="89"/>
      <c r="B1" s="89"/>
      <c r="C1" s="89"/>
      <c r="D1" s="90"/>
      <c r="E1" s="90"/>
      <c r="F1" s="90"/>
      <c r="G1" s="91" t="s">
        <v>63</v>
      </c>
      <c r="H1" s="90"/>
      <c r="I1" s="92"/>
      <c r="J1" s="92"/>
    </row>
    <row r="2" spans="1:10" ht="15" customHeight="1">
      <c r="A2" s="89"/>
      <c r="B2" s="89"/>
      <c r="C2" s="89"/>
      <c r="D2" s="90"/>
      <c r="E2" s="90"/>
      <c r="F2" s="90"/>
      <c r="G2" s="16" t="s">
        <v>64</v>
      </c>
      <c r="H2" s="90"/>
      <c r="I2" s="92"/>
      <c r="J2" s="92"/>
    </row>
    <row r="3" spans="1:10" ht="18" customHeight="1">
      <c r="A3" s="89"/>
      <c r="B3" s="89"/>
      <c r="C3" s="93" t="s">
        <v>41</v>
      </c>
      <c r="D3" s="90"/>
      <c r="E3" s="90"/>
      <c r="F3" s="90"/>
      <c r="G3" s="16" t="s">
        <v>27</v>
      </c>
      <c r="H3" s="90"/>
      <c r="I3" s="92"/>
      <c r="J3" s="92"/>
    </row>
    <row r="4" spans="1:10" ht="18" customHeight="1">
      <c r="A4" s="89"/>
      <c r="B4" s="89"/>
      <c r="C4" s="94"/>
      <c r="D4" s="90"/>
      <c r="E4" s="90"/>
      <c r="F4" s="90"/>
      <c r="G4" s="16" t="s">
        <v>65</v>
      </c>
      <c r="H4" s="90"/>
      <c r="I4" s="92"/>
      <c r="J4" s="92"/>
    </row>
    <row r="5" spans="1:10" ht="5.25" customHeight="1">
      <c r="A5" s="89"/>
      <c r="B5" s="89"/>
      <c r="C5" s="95"/>
      <c r="D5" s="90"/>
      <c r="E5" s="90"/>
      <c r="F5" s="90"/>
      <c r="G5" s="90"/>
      <c r="H5" s="90"/>
      <c r="I5" s="92"/>
      <c r="J5" s="92"/>
    </row>
    <row r="6" spans="1:10" ht="15.75" thickBot="1">
      <c r="A6" s="89"/>
      <c r="B6" s="89"/>
      <c r="C6" s="89"/>
      <c r="D6" s="90"/>
      <c r="E6" s="90"/>
      <c r="F6" s="90"/>
      <c r="G6" s="90"/>
      <c r="H6" s="96" t="s">
        <v>4</v>
      </c>
      <c r="I6" s="92"/>
      <c r="J6" s="92"/>
    </row>
    <row r="7" spans="1:10" ht="19.5" customHeight="1" thickTop="1">
      <c r="A7" s="97"/>
      <c r="B7" s="97"/>
      <c r="C7" s="98" t="s">
        <v>3</v>
      </c>
      <c r="D7" s="175" t="s">
        <v>42</v>
      </c>
      <c r="E7" s="99"/>
      <c r="F7" s="100"/>
      <c r="G7" s="100"/>
      <c r="H7" s="99"/>
      <c r="I7" s="92"/>
      <c r="J7" s="92"/>
    </row>
    <row r="8" spans="1:10" ht="26.25" customHeight="1" thickBot="1">
      <c r="A8" s="101" t="s">
        <v>13</v>
      </c>
      <c r="B8" s="101" t="s">
        <v>1</v>
      </c>
      <c r="C8" s="102" t="s">
        <v>43</v>
      </c>
      <c r="D8" s="176"/>
      <c r="E8" s="103" t="s">
        <v>37</v>
      </c>
      <c r="F8" s="103" t="s">
        <v>38</v>
      </c>
      <c r="G8" s="103" t="s">
        <v>39</v>
      </c>
      <c r="H8" s="103" t="s">
        <v>40</v>
      </c>
      <c r="I8" s="92"/>
      <c r="J8" s="92"/>
    </row>
    <row r="9" spans="1:9" ht="14.25" customHeight="1" thickBot="1" thickTop="1">
      <c r="A9" s="104">
        <v>1</v>
      </c>
      <c r="B9" s="104">
        <v>2</v>
      </c>
      <c r="C9" s="104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92"/>
    </row>
    <row r="10" spans="1:11" s="111" customFormat="1" ht="21.75" customHeight="1" thickBot="1" thickTop="1">
      <c r="A10" s="106"/>
      <c r="B10" s="106"/>
      <c r="C10" s="107" t="s">
        <v>14</v>
      </c>
      <c r="D10" s="108">
        <f>SUM(E10:H10)</f>
        <v>674029424</v>
      </c>
      <c r="E10" s="108">
        <f>155932183+E17+E22+E27</f>
        <v>155894098</v>
      </c>
      <c r="F10" s="108">
        <f>174292590+F17+F22+F27</f>
        <v>173381209</v>
      </c>
      <c r="G10" s="108">
        <f>201402775+G17+G22+G27</f>
        <v>201402775</v>
      </c>
      <c r="H10" s="108">
        <f>141761876+H17+H22+H27+H33</f>
        <v>143351342</v>
      </c>
      <c r="I10" s="109"/>
      <c r="J10" s="92"/>
      <c r="K10" s="110"/>
    </row>
    <row r="11" spans="1:11" ht="12.75" customHeight="1">
      <c r="A11" s="112"/>
      <c r="B11" s="112"/>
      <c r="C11" s="113" t="s">
        <v>15</v>
      </c>
      <c r="D11" s="114"/>
      <c r="E11" s="115"/>
      <c r="F11" s="115"/>
      <c r="G11" s="115"/>
      <c r="H11" s="115"/>
      <c r="I11" s="92"/>
      <c r="J11" s="116"/>
      <c r="K11" s="2"/>
    </row>
    <row r="12" spans="1:10" s="87" customFormat="1" ht="19.5" customHeight="1">
      <c r="A12" s="117"/>
      <c r="B12" s="117"/>
      <c r="C12" s="118" t="s">
        <v>30</v>
      </c>
      <c r="D12" s="119">
        <f aca="true" t="shared" si="0" ref="D12:D22">SUM(E12:H12)</f>
        <v>260867449</v>
      </c>
      <c r="E12" s="120">
        <f>48719873+E17+E22+E27</f>
        <v>48681788</v>
      </c>
      <c r="F12" s="120">
        <f>58924293+F17+F22+F27</f>
        <v>58012912</v>
      </c>
      <c r="G12" s="120">
        <f>83892563+G17+G22+G27</f>
        <v>83892563</v>
      </c>
      <c r="H12" s="120">
        <f>68690720+H17+H22+H27+H33</f>
        <v>70280186</v>
      </c>
      <c r="I12" s="121"/>
      <c r="J12" s="121"/>
    </row>
    <row r="13" spans="1:10" s="87" customFormat="1" ht="19.5" customHeight="1">
      <c r="A13" s="122"/>
      <c r="B13" s="122"/>
      <c r="C13" s="123" t="s">
        <v>47</v>
      </c>
      <c r="D13" s="124">
        <f t="shared" si="0"/>
        <v>13451703</v>
      </c>
      <c r="E13" s="124">
        <f>390400+E17</f>
        <v>352315</v>
      </c>
      <c r="F13" s="124">
        <f>3302553+F17</f>
        <v>2541172</v>
      </c>
      <c r="G13" s="124">
        <f>3046350+G17</f>
        <v>3046350</v>
      </c>
      <c r="H13" s="124">
        <f>6812400+H17</f>
        <v>7511866</v>
      </c>
      <c r="I13" s="121"/>
      <c r="J13" s="121"/>
    </row>
    <row r="14" spans="1:10" s="87" customFormat="1" ht="19.5" customHeight="1" thickBot="1">
      <c r="A14" s="125"/>
      <c r="B14" s="125"/>
      <c r="C14" s="126" t="s">
        <v>6</v>
      </c>
      <c r="D14" s="40">
        <f t="shared" si="0"/>
        <v>13051703</v>
      </c>
      <c r="E14" s="40">
        <f>299550+E17</f>
        <v>261465</v>
      </c>
      <c r="F14" s="40">
        <f>3211703+F17</f>
        <v>2450322</v>
      </c>
      <c r="G14" s="40">
        <f>2928900+G17</f>
        <v>2928900</v>
      </c>
      <c r="H14" s="40">
        <f>6711550+H17</f>
        <v>7411016</v>
      </c>
      <c r="I14" s="121"/>
      <c r="J14" s="121"/>
    </row>
    <row r="15" spans="1:10" s="87" customFormat="1" ht="19.5" customHeight="1" thickTop="1">
      <c r="A15" s="4">
        <v>900</v>
      </c>
      <c r="B15" s="4"/>
      <c r="C15" s="4" t="s">
        <v>8</v>
      </c>
      <c r="D15" s="130">
        <f t="shared" si="0"/>
        <v>1400000</v>
      </c>
      <c r="E15" s="130">
        <f>100000+E17</f>
        <v>61915</v>
      </c>
      <c r="F15" s="130">
        <f>800000+F17</f>
        <v>38619</v>
      </c>
      <c r="G15" s="130">
        <f>400000</f>
        <v>400000</v>
      </c>
      <c r="H15" s="130">
        <f>200000+H17</f>
        <v>899466</v>
      </c>
      <c r="I15" s="121"/>
      <c r="J15" s="121"/>
    </row>
    <row r="16" spans="1:10" s="87" customFormat="1" ht="18.75" customHeight="1">
      <c r="A16" s="59"/>
      <c r="B16" s="59">
        <v>90095</v>
      </c>
      <c r="C16" s="59" t="s">
        <v>17</v>
      </c>
      <c r="D16" s="131">
        <f t="shared" si="0"/>
        <v>1500000</v>
      </c>
      <c r="E16" s="131">
        <v>100000</v>
      </c>
      <c r="F16" s="131">
        <v>800000</v>
      </c>
      <c r="G16" s="131">
        <v>400000</v>
      </c>
      <c r="H16" s="131">
        <v>200000</v>
      </c>
      <c r="I16" s="121"/>
      <c r="J16" s="121"/>
    </row>
    <row r="17" spans="1:10" s="88" customFormat="1" ht="18.75" customHeight="1">
      <c r="A17" s="132"/>
      <c r="B17" s="141"/>
      <c r="C17" s="142"/>
      <c r="D17" s="143">
        <f t="shared" si="0"/>
        <v>-100000</v>
      </c>
      <c r="E17" s="143">
        <v>-38085</v>
      </c>
      <c r="F17" s="144">
        <v>-761381</v>
      </c>
      <c r="G17" s="143"/>
      <c r="H17" s="143">
        <v>699466</v>
      </c>
      <c r="I17" s="127"/>
      <c r="J17" s="133"/>
    </row>
    <row r="18" spans="1:10" s="88" customFormat="1" ht="19.5" customHeight="1">
      <c r="A18" s="7"/>
      <c r="B18" s="7"/>
      <c r="C18" s="123" t="s">
        <v>44</v>
      </c>
      <c r="D18" s="135">
        <f t="shared" si="0"/>
        <v>55876649</v>
      </c>
      <c r="E18" s="135">
        <f>14529795</f>
        <v>14529795</v>
      </c>
      <c r="F18" s="135">
        <f>14462948+F22</f>
        <v>14312948</v>
      </c>
      <c r="G18" s="135">
        <f>13867337</f>
        <v>13867337</v>
      </c>
      <c r="H18" s="135">
        <f>13166569</f>
        <v>13166569</v>
      </c>
      <c r="I18" s="127"/>
      <c r="J18" s="133"/>
    </row>
    <row r="19" spans="1:10" s="88" customFormat="1" ht="19.5" customHeight="1" thickBot="1">
      <c r="A19" s="18"/>
      <c r="B19" s="18"/>
      <c r="C19" s="3" t="s">
        <v>6</v>
      </c>
      <c r="D19" s="136">
        <f t="shared" si="0"/>
        <v>52827160</v>
      </c>
      <c r="E19" s="136">
        <f>13318806</f>
        <v>13318806</v>
      </c>
      <c r="F19" s="136">
        <f>13718698+F22</f>
        <v>13568698</v>
      </c>
      <c r="G19" s="136">
        <f>13258837</f>
        <v>13258837</v>
      </c>
      <c r="H19" s="136">
        <f>12680819</f>
        <v>12680819</v>
      </c>
      <c r="I19" s="127"/>
      <c r="J19" s="133"/>
    </row>
    <row r="20" spans="1:10" s="88" customFormat="1" ht="19.5" customHeight="1" thickTop="1">
      <c r="A20" s="137">
        <v>900</v>
      </c>
      <c r="B20" s="134"/>
      <c r="C20" s="134" t="s">
        <v>8</v>
      </c>
      <c r="D20" s="55">
        <f t="shared" si="0"/>
        <v>24153160</v>
      </c>
      <c r="E20" s="55">
        <f>7860306</f>
        <v>7860306</v>
      </c>
      <c r="F20" s="55">
        <f>5916198+F22</f>
        <v>5766198</v>
      </c>
      <c r="G20" s="55">
        <f>5097456</f>
        <v>5097456</v>
      </c>
      <c r="H20" s="55">
        <f>5429200</f>
        <v>5429200</v>
      </c>
      <c r="I20" s="127"/>
      <c r="J20" s="133"/>
    </row>
    <row r="21" spans="1:10" s="88" customFormat="1" ht="19.5" customHeight="1">
      <c r="A21" s="7"/>
      <c r="B21" s="45">
        <v>90003</v>
      </c>
      <c r="C21" s="45" t="s">
        <v>9</v>
      </c>
      <c r="D21" s="138">
        <f t="shared" si="0"/>
        <v>14975000</v>
      </c>
      <c r="E21" s="138">
        <v>5622412</v>
      </c>
      <c r="F21" s="138">
        <v>3557088</v>
      </c>
      <c r="G21" s="138">
        <v>2707750</v>
      </c>
      <c r="H21" s="138">
        <v>3087750</v>
      </c>
      <c r="I21" s="127"/>
      <c r="J21" s="133"/>
    </row>
    <row r="22" spans="1:10" s="129" customFormat="1" ht="19.5" customHeight="1">
      <c r="A22" s="10"/>
      <c r="B22" s="12"/>
      <c r="C22" s="12"/>
      <c r="D22" s="9">
        <f t="shared" si="0"/>
        <v>-150000</v>
      </c>
      <c r="E22" s="9"/>
      <c r="F22" s="9">
        <v>-150000</v>
      </c>
      <c r="G22" s="9"/>
      <c r="H22" s="9"/>
      <c r="I22" s="128"/>
      <c r="J22" s="139"/>
    </row>
    <row r="23" spans="1:10" s="87" customFormat="1" ht="19.5" customHeight="1">
      <c r="A23" s="7"/>
      <c r="B23" s="7"/>
      <c r="C23" s="123" t="s">
        <v>45</v>
      </c>
      <c r="D23" s="135">
        <f aca="true" t="shared" si="1" ref="D23:D33">SUM(E23:H23)</f>
        <v>43271568</v>
      </c>
      <c r="E23" s="135">
        <f>10651067</f>
        <v>10651067</v>
      </c>
      <c r="F23" s="135">
        <f>11555313</f>
        <v>11555313</v>
      </c>
      <c r="G23" s="135">
        <f>12841752</f>
        <v>12841752</v>
      </c>
      <c r="H23" s="135">
        <f>7973436+H27</f>
        <v>8223436</v>
      </c>
      <c r="I23" s="121"/>
      <c r="J23" s="121"/>
    </row>
    <row r="24" spans="1:10" s="87" customFormat="1" ht="18.75" customHeight="1" thickBot="1">
      <c r="A24" s="18"/>
      <c r="B24" s="18"/>
      <c r="C24" s="3" t="s">
        <v>6</v>
      </c>
      <c r="D24" s="136">
        <f t="shared" si="1"/>
        <v>42864368</v>
      </c>
      <c r="E24" s="136">
        <f>10564468</f>
        <v>10564468</v>
      </c>
      <c r="F24" s="136">
        <f>11448782</f>
        <v>11448782</v>
      </c>
      <c r="G24" s="136">
        <f>12709545</f>
        <v>12709545</v>
      </c>
      <c r="H24" s="136">
        <f>7891573+H27</f>
        <v>8141573</v>
      </c>
      <c r="I24" s="121"/>
      <c r="J24" s="121"/>
    </row>
    <row r="25" spans="1:10" s="87" customFormat="1" ht="18.75" customHeight="1" thickTop="1">
      <c r="A25" s="4">
        <v>851</v>
      </c>
      <c r="B25" s="4"/>
      <c r="C25" s="4" t="s">
        <v>32</v>
      </c>
      <c r="D25" s="5">
        <f t="shared" si="1"/>
        <v>6315416</v>
      </c>
      <c r="E25" s="5">
        <f>1330751</f>
        <v>1330751</v>
      </c>
      <c r="F25" s="5">
        <f>1634352</f>
        <v>1634352</v>
      </c>
      <c r="G25" s="5">
        <f>2597543</f>
        <v>2597543</v>
      </c>
      <c r="H25" s="5">
        <f>502770+H27</f>
        <v>752770</v>
      </c>
      <c r="I25" s="121"/>
      <c r="J25" s="121"/>
    </row>
    <row r="26" spans="1:10" s="88" customFormat="1" ht="18.75" customHeight="1">
      <c r="A26" s="7"/>
      <c r="B26" s="45">
        <v>85121</v>
      </c>
      <c r="C26" s="45" t="s">
        <v>33</v>
      </c>
      <c r="D26" s="8">
        <f t="shared" si="1"/>
        <v>3410000</v>
      </c>
      <c r="E26" s="138">
        <v>1115000</v>
      </c>
      <c r="F26" s="138">
        <v>800586</v>
      </c>
      <c r="G26" s="138">
        <v>1494414</v>
      </c>
      <c r="H26" s="138"/>
      <c r="I26" s="127"/>
      <c r="J26" s="127"/>
    </row>
    <row r="27" spans="1:10" s="88" customFormat="1" ht="18.75" customHeight="1">
      <c r="A27" s="7"/>
      <c r="B27" s="7"/>
      <c r="C27" s="7"/>
      <c r="D27" s="63">
        <f t="shared" si="1"/>
        <v>250000</v>
      </c>
      <c r="E27" s="63"/>
      <c r="F27" s="63"/>
      <c r="G27" s="63"/>
      <c r="H27" s="63">
        <v>250000</v>
      </c>
      <c r="I27" s="127"/>
      <c r="J27" s="127"/>
    </row>
    <row r="28" spans="1:10" s="88" customFormat="1" ht="39.75" customHeight="1">
      <c r="A28" s="172"/>
      <c r="B28" s="172"/>
      <c r="C28" s="172"/>
      <c r="D28" s="171"/>
      <c r="E28" s="171"/>
      <c r="F28" s="171"/>
      <c r="G28" s="171"/>
      <c r="H28" s="171"/>
      <c r="I28" s="127"/>
      <c r="J28" s="127"/>
    </row>
    <row r="29" spans="1:10" s="87" customFormat="1" ht="19.5" customHeight="1">
      <c r="A29" s="7"/>
      <c r="B29" s="7"/>
      <c r="C29" s="123" t="s">
        <v>62</v>
      </c>
      <c r="D29" s="135">
        <f t="shared" si="1"/>
        <v>54393885</v>
      </c>
      <c r="E29" s="135">
        <f>4565018</f>
        <v>4565018</v>
      </c>
      <c r="F29" s="135">
        <f>6951337</f>
        <v>6951337</v>
      </c>
      <c r="G29" s="135">
        <f>29345719</f>
        <v>29345719</v>
      </c>
      <c r="H29" s="135">
        <f>12891811+H33</f>
        <v>13531811</v>
      </c>
      <c r="I29" s="121"/>
      <c r="J29" s="121"/>
    </row>
    <row r="30" spans="1:10" s="87" customFormat="1" ht="18.75" customHeight="1" thickBot="1">
      <c r="A30" s="18"/>
      <c r="B30" s="18"/>
      <c r="C30" s="3" t="s">
        <v>6</v>
      </c>
      <c r="D30" s="136">
        <f t="shared" si="1"/>
        <v>54390874</v>
      </c>
      <c r="E30" s="136">
        <v>4565018</v>
      </c>
      <c r="F30" s="136">
        <v>6951337</v>
      </c>
      <c r="G30" s="136">
        <v>29345719</v>
      </c>
      <c r="H30" s="136">
        <f>12888800+H33</f>
        <v>13528800</v>
      </c>
      <c r="I30" s="121"/>
      <c r="J30" s="121"/>
    </row>
    <row r="31" spans="1:10" s="87" customFormat="1" ht="18.75" customHeight="1" thickTop="1">
      <c r="A31" s="137">
        <v>900</v>
      </c>
      <c r="B31" s="134"/>
      <c r="C31" s="134" t="s">
        <v>8</v>
      </c>
      <c r="D31" s="5">
        <f t="shared" si="1"/>
        <v>7463000</v>
      </c>
      <c r="E31" s="5">
        <v>1719531</v>
      </c>
      <c r="F31" s="5">
        <v>1110690</v>
      </c>
      <c r="G31" s="5">
        <v>2716779</v>
      </c>
      <c r="H31" s="5">
        <f>1276000+H33</f>
        <v>1916000</v>
      </c>
      <c r="I31" s="121"/>
      <c r="J31" s="121"/>
    </row>
    <row r="32" spans="1:10" s="88" customFormat="1" ht="18.75" customHeight="1">
      <c r="A32" s="7"/>
      <c r="B32" s="45">
        <v>90001</v>
      </c>
      <c r="C32" s="45" t="s">
        <v>51</v>
      </c>
      <c r="D32" s="8">
        <f t="shared" si="1"/>
        <v>1918000</v>
      </c>
      <c r="E32" s="138">
        <v>807102</v>
      </c>
      <c r="F32" s="138">
        <v>110370</v>
      </c>
      <c r="G32" s="138">
        <v>790528</v>
      </c>
      <c r="H32" s="138">
        <v>210000</v>
      </c>
      <c r="I32" s="127"/>
      <c r="J32" s="127"/>
    </row>
    <row r="33" spans="1:10" s="88" customFormat="1" ht="18.75" customHeight="1">
      <c r="A33" s="18"/>
      <c r="B33" s="18"/>
      <c r="C33" s="18"/>
      <c r="D33" s="9">
        <f t="shared" si="1"/>
        <v>640000</v>
      </c>
      <c r="E33" s="9"/>
      <c r="F33" s="9"/>
      <c r="G33" s="9"/>
      <c r="H33" s="9">
        <v>640000</v>
      </c>
      <c r="I33" s="127"/>
      <c r="J33" s="127"/>
    </row>
    <row r="35" s="16" customFormat="1" ht="15">
      <c r="G35" s="153" t="s">
        <v>66</v>
      </c>
    </row>
    <row r="36" s="16" customFormat="1" ht="15">
      <c r="G36" s="153" t="s">
        <v>67</v>
      </c>
    </row>
  </sheetData>
  <mergeCells count="1">
    <mergeCell ref="D7:D8"/>
  </mergeCells>
  <printOptions/>
  <pageMargins left="0.5905511811023623" right="0.5905511811023623" top="0.7874015748031497" bottom="0.7874015748031497" header="0.5118110236220472" footer="0.5118110236220472"/>
  <pageSetup firstPageNumber="6" useFirstPageNumber="1" horizontalDpi="300" verticalDpi="300" orientation="landscape" paperSize="9" scale="9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Urząd Miejski w Lublinie Urzą</cp:lastModifiedBy>
  <cp:lastPrinted>2003-10-22T05:57:33Z</cp:lastPrinted>
  <dcterms:created xsi:type="dcterms:W3CDTF">2001-01-24T06:53:28Z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