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firstSheet="1" activeTab="6"/>
  </bookViews>
  <sheets>
    <sheet name="doch" sheetId="1" r:id="rId1"/>
    <sheet name="wyd" sheetId="2" r:id="rId2"/>
    <sheet name="jednostki" sheetId="3" r:id="rId3"/>
    <sheet name="Dzial 00" sheetId="4" r:id="rId4"/>
    <sheet name="GFOŚiGW" sheetId="5" r:id="rId5"/>
    <sheet name="Harm doch" sheetId="6" r:id="rId6"/>
    <sheet name="Harm wydat" sheetId="7" r:id="rId7"/>
    <sheet name="GFOŚiGW-harm" sheetId="8" r:id="rId8"/>
  </sheets>
  <definedNames>
    <definedName name="_xlnm.Print_Titles" localSheetId="0">'doch'!$7:$7</definedName>
    <definedName name="_xlnm.Print_Titles" localSheetId="4">'GFOŚiGW'!$8:$8</definedName>
    <definedName name="_xlnm.Print_Titles" localSheetId="6">'Harm wydat'!$9:$9</definedName>
    <definedName name="_xlnm.Print_Titles" localSheetId="2">'jednostki'!$9:$9</definedName>
    <definedName name="_xlnm.Print_Titles" localSheetId="1">'wyd'!$7:$7</definedName>
  </definedNames>
  <calcPr fullCalcOnLoad="1"/>
</workbook>
</file>

<file path=xl/sharedStrings.xml><?xml version="1.0" encoding="utf-8"?>
<sst xmlns="http://schemas.openxmlformats.org/spreadsheetml/2006/main" count="408" uniqueCount="169">
  <si>
    <t>Dz.</t>
  </si>
  <si>
    <t>Rozdz.</t>
  </si>
  <si>
    <t>§</t>
  </si>
  <si>
    <t>Treść</t>
  </si>
  <si>
    <t>w złotych</t>
  </si>
  <si>
    <t>Ogółem</t>
  </si>
  <si>
    <t>Wydatki na zadania własne</t>
  </si>
  <si>
    <t>Zakup usług pozostałych</t>
  </si>
  <si>
    <t>Różne rozliczenia</t>
  </si>
  <si>
    <t>Część oświatowa subwencji ogólnej dla jednostek samorządu terytorialnego</t>
  </si>
  <si>
    <t>subwencja oświatowa</t>
  </si>
  <si>
    <t>Gospodarka komunalna i ochrona środowiska</t>
  </si>
  <si>
    <t>Oświetlenie ulic, placów i dróg</t>
  </si>
  <si>
    <t>Oczyszczanie miast i wsi</t>
  </si>
  <si>
    <t>letnie oczyszczanie miasta</t>
  </si>
  <si>
    <t>sprzątanie przystanków i utrzymanie wiat przystankowych</t>
  </si>
  <si>
    <t>Utrzymanie zieleni w miastach i gminach</t>
  </si>
  <si>
    <t>Kultura i ochrona dziedzictwa narodowego</t>
  </si>
  <si>
    <t>Ochrona i konserwacja zabytków</t>
  </si>
  <si>
    <t>Zespół Szkół Nr 5</t>
  </si>
  <si>
    <t>inwestycje realizowane przy udziale mieszkańców</t>
  </si>
  <si>
    <t>Pożyczki i kredyty</t>
  </si>
  <si>
    <t>Plan przychodów i wydatków</t>
  </si>
  <si>
    <t xml:space="preserve">    Gminnego Funduszu Ochrony Środowiska i Gospodarki Wodnej </t>
  </si>
  <si>
    <t>Wyszczególnienie</t>
  </si>
  <si>
    <t xml:space="preserve">Stan środków obrotowych na początek roku </t>
  </si>
  <si>
    <t xml:space="preserve"> I   Przychody</t>
  </si>
  <si>
    <t>Suma bilansowa</t>
  </si>
  <si>
    <t>II    Wydatki ogółem</t>
  </si>
  <si>
    <t>Fundusz Ochrony Środowiska i Gospodarki Wodnej</t>
  </si>
  <si>
    <t xml:space="preserve">Rozdz.
§      </t>
  </si>
  <si>
    <t>monitoring środowiska w mieście</t>
  </si>
  <si>
    <t>Szkoły podstawowe</t>
  </si>
  <si>
    <t>Gimnazja</t>
  </si>
  <si>
    <t>Licea ogólnokształcące</t>
  </si>
  <si>
    <t>Szkoły zawodowe</t>
  </si>
  <si>
    <t>Zmniejszenie</t>
  </si>
  <si>
    <t>Zwiększenie</t>
  </si>
  <si>
    <t>Dział</t>
  </si>
  <si>
    <t>Wydatki ogółem</t>
  </si>
  <si>
    <t>z tego:</t>
  </si>
  <si>
    <t>Dochody</t>
  </si>
  <si>
    <t>Plan po zmianach</t>
  </si>
  <si>
    <t>Dochody budżetu miasta ogółem</t>
  </si>
  <si>
    <t>Dochody własne</t>
  </si>
  <si>
    <t>Subwencje</t>
  </si>
  <si>
    <t>Dotacje celowe i inne środki na zadania własne</t>
  </si>
  <si>
    <t xml:space="preserve">Dotacje celowe z budżetu państwa na zadania zlecone z zakresu administracji rządowej </t>
  </si>
  <si>
    <t>II. Dochody powiatu ogółem, z tego:</t>
  </si>
  <si>
    <t>I Dochody gminy ogółem, z tego:</t>
  </si>
  <si>
    <t>Pozostała działalność</t>
  </si>
  <si>
    <t>Dotacje celowe na zadania realizowane w drodze porozumień i umów</t>
  </si>
  <si>
    <t>Wydatki</t>
  </si>
  <si>
    <t xml:space="preserve">Wydatki na zadania zlecone </t>
  </si>
  <si>
    <t xml:space="preserve">Dotacje celowe z budżetu państwa na zadania z zakresu administracji rządowej </t>
  </si>
  <si>
    <t>Oświata i wychowanie</t>
  </si>
  <si>
    <t>Zmiany</t>
  </si>
  <si>
    <t xml:space="preserve">Plan według uchwały    
Nr 27/III/2003                              
Rady Miasta Lublin
z 30.01.2003 r.
z późn. zm.    </t>
  </si>
  <si>
    <t xml:space="preserve">Plan według uchwały    
Nr 27/III/2003                              
Rady Miasta Lublin
z 30.01.2003 r.
z późn. zm.                      </t>
  </si>
  <si>
    <t>wydatki rzeczowe</t>
  </si>
  <si>
    <t>Zwiększenia</t>
  </si>
  <si>
    <t>Zmniejszenia</t>
  </si>
  <si>
    <t>kamienica Grodzka 20</t>
  </si>
  <si>
    <t>Wydatki na zadania realizowane na podstawie 
porozumień i umów</t>
  </si>
  <si>
    <t>Plan przychodów
 po zmianach</t>
  </si>
  <si>
    <t>Przychody z zaciągniętych pożyczek i kredytów na rynku krajowym</t>
  </si>
  <si>
    <t>2) emisja obligacji - 30.000.000 zł</t>
  </si>
  <si>
    <t>Stan środków obrotowych na koniec roku</t>
  </si>
  <si>
    <t>Załącznik Nr 6</t>
  </si>
  <si>
    <t>dotacja z Gminy Świdnik na refundację wydatków poniesionych 
na budowę składowiska w Rokitnie</t>
  </si>
  <si>
    <t>utrzymanie, konserwacja i renowacja zieleni</t>
  </si>
  <si>
    <t xml:space="preserve">Rozchody według
uchwały
Nr 27/III/2003
Rady Miasta 
z 30.01.2003 r.  
z późn. zm.                     </t>
  </si>
  <si>
    <t xml:space="preserve">Przychody według uchwały 
Nr 27/III/2003 
Rady Miasta 
z 30.01.2003 r. 
z późn. zm.                                               </t>
  </si>
  <si>
    <t>Planowane przychody i rozchody</t>
  </si>
  <si>
    <t>rewaloryzacja zabytków, w tym:</t>
  </si>
  <si>
    <t>środki przekazane przez Marszałka Województwa z tytułu opłat za gospodarcze korzystanie ze środowiska</t>
  </si>
  <si>
    <t>aktualizacja projektu stref ochronnych ujęć  m. Lublina</t>
  </si>
  <si>
    <t>Przelewy redystrybucyjne</t>
  </si>
  <si>
    <t>Wydatki inwestycyjne funduszy celowych</t>
  </si>
  <si>
    <t>opracowanie projektów nowych terenów zielonych: Park Zawilcowa, Park Czuby</t>
  </si>
  <si>
    <t>termomodernizacja budynków szkolnych, wymiana stolarki okiennej</t>
  </si>
  <si>
    <t xml:space="preserve">likwidacja zagrożeń powierzchni ziemi substancjami chemicznymi </t>
  </si>
  <si>
    <t>Pokrycie deficytu budżetowego - 41.121.000 zł</t>
  </si>
  <si>
    <t>1) pożyczki i kredyty - 11.121.000 zł</t>
  </si>
  <si>
    <t>termomodernizacja obiektów szkolnych</t>
  </si>
  <si>
    <t>Dochody                                                                                                                                            (Nazwa działu, rozdziału, źródła dochodów, paragrafu)</t>
  </si>
  <si>
    <t>Subwencje ogólne z budżetu państwa</t>
  </si>
  <si>
    <t>Wydatki                                                                                                                               (Nazwa działu, rozdziału, zadania, paragrafu)</t>
  </si>
  <si>
    <t>Zakup usług remontowych - remonty szkół</t>
  </si>
  <si>
    <t>inwestycje, w tym:</t>
  </si>
  <si>
    <t>Wydatki inwestycyjne jednostek budżetowych</t>
  </si>
  <si>
    <t>inwestycje, z tego:</t>
  </si>
  <si>
    <t>Zakup energii</t>
  </si>
  <si>
    <t>remonty obiektów zabytkowych, w tym:</t>
  </si>
  <si>
    <t>Zakup usług remontowych</t>
  </si>
  <si>
    <t>Prezydenta Miasta Lublin</t>
  </si>
  <si>
    <t>Podział planowanych dochodów i wydatków budżetu miasta</t>
  </si>
  <si>
    <t>na 2003 rok według jednostek organizacyjnych realizujących budżet</t>
  </si>
  <si>
    <t>1. Urząd Miasta</t>
  </si>
  <si>
    <t>1.1 Wydział Finansowy</t>
  </si>
  <si>
    <t xml:space="preserve"> </t>
  </si>
  <si>
    <t>II Dochody powiatu ogółem, z tego:</t>
  </si>
  <si>
    <t>oświetlenie dróg krajowych, wojewódzkich i powiatowych</t>
  </si>
  <si>
    <t>1.3 Wydział Organizacyjny</t>
  </si>
  <si>
    <t xml:space="preserve">1.2 Wydział Gospodarki Komunalnej </t>
  </si>
  <si>
    <t>Rezerwy ogólne i celowe</t>
  </si>
  <si>
    <t>rezerwa budżetowa</t>
  </si>
  <si>
    <t>Rezerwy</t>
  </si>
  <si>
    <t>Ochrona zdrowia</t>
  </si>
  <si>
    <t>Lecznictwo ambulatoryjne</t>
  </si>
  <si>
    <t>zakup świadczeń zdrowotnych</t>
  </si>
  <si>
    <t>Zakup usług zdrowotnych</t>
  </si>
  <si>
    <t>Przeciwdziałanie alkoholizmowi</t>
  </si>
  <si>
    <t>zadania realizowane w ramach Gminnego Programu Profilaktyki i Rozwiązywania Problemów Alkoholowych, z tego:</t>
  </si>
  <si>
    <t>prowadzenie profilaktycznej działalności informacyjnej 
i edukacyjnej, w szczególności dla dzieci i młodzieży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</si>
  <si>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</si>
  <si>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</si>
  <si>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edukacja ekologiczna</t>
  </si>
  <si>
    <t>Wydatki na zakupy inwestycyjne funduszy celowych</t>
  </si>
  <si>
    <t>zakup pojemników do selektywnej zbiórki odpadów</t>
  </si>
  <si>
    <t>Zakup materiałów i wyposażenia</t>
  </si>
  <si>
    <t>Załącznik Nr 1</t>
  </si>
  <si>
    <t xml:space="preserve">Załącznik Nr 2 </t>
  </si>
  <si>
    <t xml:space="preserve">Załącznik Nr 3 </t>
  </si>
  <si>
    <t xml:space="preserve">Załącznik Nr 4 </t>
  </si>
  <si>
    <t>Załącznik Nr 5</t>
  </si>
  <si>
    <t>Harmonogram realizacji dochodów budżetu miasta w 2003 roku</t>
  </si>
  <si>
    <t xml:space="preserve">Rozdz. </t>
  </si>
  <si>
    <t>Treść                                                                                                                   (Nazwa działu, rozdziału)</t>
  </si>
  <si>
    <t>Plan na 2003 rok
z późn. zm.</t>
  </si>
  <si>
    <t>I kwartał</t>
  </si>
  <si>
    <t>II kwartał</t>
  </si>
  <si>
    <t>III kwartał</t>
  </si>
  <si>
    <t>IV kwartał</t>
  </si>
  <si>
    <t>Dochody ogółem</t>
  </si>
  <si>
    <t>Dochody gminy, z tego:</t>
  </si>
  <si>
    <t>Dochody powiatu, z tego:</t>
  </si>
  <si>
    <t>Harmonogram realizacji wydatków budżetu miasta w 2003 roku</t>
  </si>
  <si>
    <t>Plan
na 2003 rok
z późn. zm.</t>
  </si>
  <si>
    <t>(Nazwa działu, rozdziału)</t>
  </si>
  <si>
    <t>1.2  Wydział Gospodarki Komunalnej</t>
  </si>
  <si>
    <t>1.3  Wydział Spraw Społecznych</t>
  </si>
  <si>
    <t>1.4  Wydział Strategii i Rozwoju</t>
  </si>
  <si>
    <t>Załącznik Nr 7</t>
  </si>
  <si>
    <t>1.2  Wydział Organizacyjny</t>
  </si>
  <si>
    <t>2. Szkoły i placówki oświatowe</t>
  </si>
  <si>
    <t xml:space="preserve">opracowanie koncepcji oczyszczania ścieków deszczowych </t>
  </si>
  <si>
    <t>środki w dyspozycji Wydziału</t>
  </si>
  <si>
    <t>Szkoła Podstawowa Nr 4</t>
  </si>
  <si>
    <t>Szkoła Podstawowa Nr 10</t>
  </si>
  <si>
    <t xml:space="preserve">Fundacja "Uśmiech dziecka", ul. Północna 159, 20 - 822 Lublin </t>
  </si>
  <si>
    <t>Stowarzyszenie Sportowo-Integracyjne "Bronowice"; ul. Krańcowa 106, 20-612 Lublin</t>
  </si>
  <si>
    <t>Stowarzyszenie Harcerstwa Katolickiego "Zawisza",
ul. Podwale 15, 20 - 117 Lublin</t>
  </si>
  <si>
    <t>1.4 Wydział Spraw Społecznych</t>
  </si>
  <si>
    <t>1.5 Wydział Strategii i Rozwoju</t>
  </si>
  <si>
    <t xml:space="preserve">Dotacje celowe otrzymane z gminy lub z miasta Stołecznego Warszawy na inwestycje i zakupy inwestycyjne realizowane na podstawie porozumień między jednostkami samorządu terytorialnego   </t>
  </si>
  <si>
    <t xml:space="preserve"> Harmonogram realizacji przychodów i wydatków </t>
  </si>
  <si>
    <t xml:space="preserve">Gminnego Funduszu Ochrony Środowiska i Gospodarki Wodnej </t>
  </si>
  <si>
    <t>na 2003 rok</t>
  </si>
  <si>
    <t>Treść                                                                                                                   (nazwa działu, rozdziału)</t>
  </si>
  <si>
    <t>Plan 
na 2003 rok
z późn. zm.</t>
  </si>
  <si>
    <t>Załącznik Nr 8</t>
  </si>
  <si>
    <t>Urząd Miasta - Miejski Inspektorat Ochrony Środowiska</t>
  </si>
  <si>
    <t>Przychody</t>
  </si>
  <si>
    <t>1.1. Miejski Inspektorat Ochrony Środowiska</t>
  </si>
  <si>
    <t>1.2. Wydział Organizacyjny</t>
  </si>
  <si>
    <t xml:space="preserve">do Zarządzenia Nr 649/2003 </t>
  </si>
  <si>
    <t xml:space="preserve">z dnia 15 września 2003 r.         </t>
  </si>
  <si>
    <t>PREZYDENT
Miasta Lublin
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</si>
</sst>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,##0_ ;[Red]\-#,##0\ 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sz val="9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u val="single"/>
      <sz val="11"/>
      <color indexed="8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 style="dashed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thin"/>
    </border>
    <border>
      <left style="thin"/>
      <right style="thin"/>
      <top style="thin"/>
      <bottom style="dashDotDot"/>
    </border>
    <border>
      <left style="thin"/>
      <right style="thin"/>
      <top style="dashDotDot"/>
      <bottom style="dotted"/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 style="dotted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1" fillId="0" borderId="4" xfId="0" applyNumberFormat="1" applyFont="1" applyBorder="1" applyAlignment="1">
      <alignment wrapText="1"/>
    </xf>
    <xf numFmtId="0" fontId="3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6" xfId="0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/>
    </xf>
    <xf numFmtId="0" fontId="1" fillId="3" borderId="11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3" borderId="4" xfId="0" applyFont="1" applyFill="1" applyBorder="1" applyAlignment="1">
      <alignment/>
    </xf>
    <xf numFmtId="0" fontId="1" fillId="3" borderId="4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3" borderId="5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1" fillId="3" borderId="4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0" fillId="3" borderId="0" xfId="0" applyNumberFormat="1" applyFont="1" applyFill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 wrapText="1"/>
    </xf>
    <xf numFmtId="0" fontId="0" fillId="3" borderId="5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1" fillId="1" borderId="3" xfId="0" applyFont="1" applyFill="1" applyBorder="1" applyAlignment="1">
      <alignment vertical="center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3" xfId="0" applyFont="1" applyBorder="1" applyAlignment="1">
      <alignment vertical="center"/>
    </xf>
    <xf numFmtId="3" fontId="1" fillId="1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 vertical="center"/>
    </xf>
    <xf numFmtId="0" fontId="3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3" fontId="0" fillId="0" borderId="17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3" borderId="11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4" fillId="2" borderId="20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3" fillId="0" borderId="23" xfId="0" applyFont="1" applyBorder="1" applyAlignment="1">
      <alignment wrapText="1"/>
    </xf>
    <xf numFmtId="3" fontId="3" fillId="0" borderId="23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3" fontId="1" fillId="0" borderId="4" xfId="0" applyNumberFormat="1" applyFont="1" applyBorder="1" applyAlignment="1">
      <alignment horizontal="right" wrapText="1"/>
    </xf>
    <xf numFmtId="0" fontId="0" fillId="3" borderId="14" xfId="0" applyFont="1" applyFill="1" applyBorder="1" applyAlignment="1">
      <alignment/>
    </xf>
    <xf numFmtId="3" fontId="3" fillId="0" borderId="5" xfId="0" applyNumberFormat="1" applyFont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0" borderId="24" xfId="0" applyFont="1" applyBorder="1" applyAlignment="1">
      <alignment horizontal="left" wrapText="1"/>
    </xf>
    <xf numFmtId="3" fontId="0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4" fillId="3" borderId="3" xfId="0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3" fontId="0" fillId="3" borderId="17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0" fontId="4" fillId="3" borderId="9" xfId="0" applyFont="1" applyFill="1" applyBorder="1" applyAlignment="1">
      <alignment wrapText="1"/>
    </xf>
    <xf numFmtId="3" fontId="4" fillId="3" borderId="9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1" fillId="1" borderId="3" xfId="0" applyFont="1" applyFill="1" applyBorder="1" applyAlignment="1">
      <alignment/>
    </xf>
    <xf numFmtId="3" fontId="1" fillId="1" borderId="3" xfId="0" applyNumberFormat="1" applyFont="1" applyFill="1" applyBorder="1" applyAlignment="1">
      <alignment/>
    </xf>
    <xf numFmtId="3" fontId="1" fillId="1" borderId="4" xfId="0" applyNumberFormat="1" applyFont="1" applyFill="1" applyBorder="1" applyAlignment="1">
      <alignment/>
    </xf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/>
    </xf>
    <xf numFmtId="3" fontId="0" fillId="0" borderId="26" xfId="0" applyNumberFormat="1" applyFont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3" fontId="3" fillId="3" borderId="3" xfId="0" applyNumberFormat="1" applyFont="1" applyFill="1" applyBorder="1" applyAlignment="1">
      <alignment wrapText="1"/>
    </xf>
    <xf numFmtId="3" fontId="0" fillId="3" borderId="6" xfId="0" applyNumberFormat="1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3" fontId="3" fillId="3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3" fontId="3" fillId="0" borderId="27" xfId="0" applyNumberFormat="1" applyFont="1" applyBorder="1" applyAlignment="1">
      <alignment/>
    </xf>
    <xf numFmtId="3" fontId="3" fillId="0" borderId="27" xfId="0" applyNumberFormat="1" applyFont="1" applyBorder="1" applyAlignment="1">
      <alignment wrapText="1"/>
    </xf>
    <xf numFmtId="0" fontId="0" fillId="0" borderId="28" xfId="0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3" fillId="0" borderId="3" xfId="0" applyFont="1" applyBorder="1" applyAlignment="1" quotePrefix="1">
      <alignment horizontal="right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0" xfId="0" applyFont="1" applyAlignment="1">
      <alignment/>
    </xf>
    <xf numFmtId="0" fontId="11" fillId="0" borderId="31" xfId="0" applyFont="1" applyBorder="1" applyAlignment="1">
      <alignment horizontal="center"/>
    </xf>
    <xf numFmtId="3" fontId="1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11" fillId="0" borderId="5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0" fontId="0" fillId="0" borderId="35" xfId="0" applyFont="1" applyBorder="1" applyAlignment="1">
      <alignment horizontal="left" wrapText="1"/>
    </xf>
    <xf numFmtId="3" fontId="0" fillId="0" borderId="35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wrapText="1"/>
    </xf>
    <xf numFmtId="0" fontId="0" fillId="0" borderId="26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1" fillId="3" borderId="4" xfId="0" applyFont="1" applyFill="1" applyBorder="1" applyAlignment="1">
      <alignment/>
    </xf>
    <xf numFmtId="0" fontId="3" fillId="0" borderId="36" xfId="0" applyFont="1" applyBorder="1" applyAlignment="1">
      <alignment wrapText="1"/>
    </xf>
    <xf numFmtId="3" fontId="3" fillId="0" borderId="36" xfId="0" applyNumberFormat="1" applyFont="1" applyBorder="1" applyAlignment="1">
      <alignment horizontal="right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3" fontId="0" fillId="0" borderId="37" xfId="0" applyNumberFormat="1" applyFont="1" applyBorder="1" applyAlignment="1">
      <alignment wrapText="1"/>
    </xf>
    <xf numFmtId="3" fontId="0" fillId="0" borderId="38" xfId="0" applyNumberFormat="1" applyFont="1" applyBorder="1" applyAlignment="1">
      <alignment wrapText="1"/>
    </xf>
    <xf numFmtId="0" fontId="0" fillId="0" borderId="39" xfId="0" applyFont="1" applyBorder="1" applyAlignment="1">
      <alignment wrapText="1"/>
    </xf>
    <xf numFmtId="3" fontId="0" fillId="0" borderId="39" xfId="0" applyNumberFormat="1" applyFont="1" applyBorder="1" applyAlignment="1">
      <alignment horizontal="right" wrapText="1"/>
    </xf>
    <xf numFmtId="3" fontId="0" fillId="0" borderId="40" xfId="0" applyNumberFormat="1" applyFont="1" applyBorder="1" applyAlignment="1">
      <alignment/>
    </xf>
    <xf numFmtId="0" fontId="12" fillId="0" borderId="0" xfId="0" applyAlignment="1">
      <alignment/>
    </xf>
    <xf numFmtId="3" fontId="12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Alignment="1">
      <alignment/>
    </xf>
    <xf numFmtId="0" fontId="14" fillId="0" borderId="0" xfId="0" applyFont="1" applyAlignment="1">
      <alignment horizontal="left"/>
    </xf>
    <xf numFmtId="3" fontId="12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3" fillId="0" borderId="41" xfId="0" applyAlignment="1">
      <alignment horizontal="center" vertical="center"/>
    </xf>
    <xf numFmtId="0" fontId="13" fillId="0" borderId="42" xfId="0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1" xfId="0" applyFont="1" applyAlignment="1">
      <alignment horizontal="center" vertical="center" wrapText="1"/>
    </xf>
    <xf numFmtId="3" fontId="13" fillId="0" borderId="41" xfId="0" applyAlignment="1">
      <alignment horizontal="center" vertical="center" wrapText="1"/>
    </xf>
    <xf numFmtId="0" fontId="16" fillId="0" borderId="41" xfId="0" applyFont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 vertical="center"/>
    </xf>
    <xf numFmtId="3" fontId="16" fillId="0" borderId="41" xfId="0" applyFont="1" applyAlignment="1">
      <alignment horizontal="center" vertical="center"/>
    </xf>
    <xf numFmtId="0" fontId="17" fillId="0" borderId="44" xfId="0" applyAlignment="1">
      <alignment horizontal="left"/>
    </xf>
    <xf numFmtId="0" fontId="17" fillId="0" borderId="45" xfId="0" applyBorder="1" applyAlignment="1">
      <alignment/>
    </xf>
    <xf numFmtId="0" fontId="17" fillId="0" borderId="46" xfId="0" applyBorder="1" applyAlignment="1">
      <alignment horizontal="left"/>
    </xf>
    <xf numFmtId="3" fontId="17" fillId="0" borderId="46" xfId="0" applyNumberFormat="1" applyAlignment="1">
      <alignment horizontal="right"/>
    </xf>
    <xf numFmtId="3" fontId="17" fillId="0" borderId="46" xfId="0" applyNumberFormat="1" applyFont="1" applyAlignment="1">
      <alignment horizontal="right"/>
    </xf>
    <xf numFmtId="0" fontId="12" fillId="0" borderId="47" xfId="0" applyAlignment="1">
      <alignment horizontal="center"/>
    </xf>
    <xf numFmtId="0" fontId="12" fillId="0" borderId="48" xfId="0" applyBorder="1" applyAlignment="1">
      <alignment horizontal="center"/>
    </xf>
    <xf numFmtId="0" fontId="13" fillId="4" borderId="49" xfId="0" applyFont="1" applyBorder="1" applyAlignment="1">
      <alignment horizontal="center"/>
    </xf>
    <xf numFmtId="3" fontId="13" fillId="4" borderId="49" xfId="0" applyNumberFormat="1" applyAlignment="1">
      <alignment horizontal="right"/>
    </xf>
    <xf numFmtId="0" fontId="12" fillId="0" borderId="47" xfId="0" applyAlignment="1">
      <alignment/>
    </xf>
    <xf numFmtId="0" fontId="12" fillId="0" borderId="48" xfId="0" applyBorder="1" applyAlignment="1">
      <alignment/>
    </xf>
    <xf numFmtId="0" fontId="18" fillId="4" borderId="47" xfId="0" applyBorder="1" applyAlignment="1">
      <alignment horizontal="center"/>
    </xf>
    <xf numFmtId="3" fontId="18" fillId="4" borderId="47" xfId="0" applyNumberFormat="1" applyAlignment="1">
      <alignment horizontal="center"/>
    </xf>
    <xf numFmtId="0" fontId="12" fillId="0" borderId="47" xfId="0" applyFill="1" applyBorder="1" applyAlignment="1">
      <alignment/>
    </xf>
    <xf numFmtId="0" fontId="12" fillId="0" borderId="48" xfId="0" applyFill="1" applyBorder="1" applyAlignment="1">
      <alignment/>
    </xf>
    <xf numFmtId="0" fontId="19" fillId="0" borderId="47" xfId="0" applyFont="1" applyFill="1" applyBorder="1" applyAlignment="1">
      <alignment/>
    </xf>
    <xf numFmtId="3" fontId="20" fillId="0" borderId="4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3" borderId="50" xfId="0" applyFont="1" applyFill="1" applyBorder="1" applyAlignment="1">
      <alignment/>
    </xf>
    <xf numFmtId="0" fontId="4" fillId="3" borderId="51" xfId="0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52" xfId="0" applyFont="1" applyFill="1" applyBorder="1" applyAlignment="1">
      <alignment/>
    </xf>
    <xf numFmtId="0" fontId="1" fillId="2" borderId="53" xfId="0" applyFont="1" applyFill="1" applyBorder="1" applyAlignment="1">
      <alignment wrapText="1"/>
    </xf>
    <xf numFmtId="0" fontId="3" fillId="3" borderId="11" xfId="0" applyFont="1" applyFill="1" applyBorder="1" applyAlignment="1">
      <alignment/>
    </xf>
    <xf numFmtId="0" fontId="0" fillId="3" borderId="54" xfId="0" applyFont="1" applyFill="1" applyBorder="1" applyAlignment="1">
      <alignment/>
    </xf>
    <xf numFmtId="0" fontId="0" fillId="3" borderId="55" xfId="0" applyFont="1" applyFill="1" applyBorder="1" applyAlignment="1">
      <alignment wrapText="1"/>
    </xf>
    <xf numFmtId="3" fontId="0" fillId="3" borderId="11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3" fontId="15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56" xfId="0" applyFill="1" applyBorder="1" applyAlignment="1">
      <alignment/>
    </xf>
    <xf numFmtId="3" fontId="13" fillId="2" borderId="46" xfId="0" applyNumberFormat="1" applyFont="1" applyFill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46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21" fillId="0" borderId="0" xfId="0" applyAlignment="1">
      <alignment/>
    </xf>
    <xf numFmtId="3" fontId="21" fillId="0" borderId="0" xfId="0" applyAlignment="1">
      <alignment/>
    </xf>
    <xf numFmtId="3" fontId="12" fillId="0" borderId="0" xfId="0" applyFont="1" applyAlignment="1">
      <alignment/>
    </xf>
    <xf numFmtId="0" fontId="12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Alignment="1">
      <alignment/>
    </xf>
    <xf numFmtId="0" fontId="19" fillId="0" borderId="0" xfId="0" applyFont="1" applyFill="1" applyBorder="1" applyAlignment="1">
      <alignment wrapText="1"/>
    </xf>
    <xf numFmtId="3" fontId="15" fillId="0" borderId="0" xfId="0" applyFont="1" applyAlignment="1">
      <alignment horizontal="right"/>
    </xf>
    <xf numFmtId="0" fontId="17" fillId="0" borderId="57" xfId="0" applyAlignment="1">
      <alignment/>
    </xf>
    <xf numFmtId="0" fontId="17" fillId="0" borderId="57" xfId="0" applyAlignment="1">
      <alignment horizontal="center"/>
    </xf>
    <xf numFmtId="3" fontId="17" fillId="0" borderId="57" xfId="0" applyAlignment="1">
      <alignment horizontal="center" vertical="center"/>
    </xf>
    <xf numFmtId="3" fontId="17" fillId="0" borderId="58" xfId="0" applyAlignment="1">
      <alignment horizontal="center" vertical="center"/>
    </xf>
    <xf numFmtId="0" fontId="17" fillId="0" borderId="59" xfId="0" applyAlignment="1">
      <alignment horizontal="center" vertical="top" wrapText="1"/>
    </xf>
    <xf numFmtId="0" fontId="17" fillId="0" borderId="60" xfId="0" applyFont="1" applyAlignment="1">
      <alignment horizontal="center" vertical="center"/>
    </xf>
    <xf numFmtId="3" fontId="17" fillId="0" borderId="61" xfId="0" applyAlignment="1">
      <alignment horizontal="center" vertical="top" wrapText="1"/>
    </xf>
    <xf numFmtId="0" fontId="22" fillId="0" borderId="41" xfId="0" applyAlignment="1">
      <alignment horizontal="center" vertical="center"/>
    </xf>
    <xf numFmtId="3" fontId="22" fillId="0" borderId="41" xfId="0" applyAlignment="1">
      <alignment horizontal="center" vertical="center"/>
    </xf>
    <xf numFmtId="0" fontId="23" fillId="0" borderId="44" xfId="0" applyFont="1" applyAlignment="1">
      <alignment horizontal="center" vertical="center"/>
    </xf>
    <xf numFmtId="0" fontId="17" fillId="0" borderId="62" xfId="0" applyFont="1" applyAlignment="1">
      <alignment horizontal="center" vertical="center"/>
    </xf>
    <xf numFmtId="3" fontId="17" fillId="0" borderId="62" xfId="0" applyFont="1" applyAlignment="1">
      <alignment horizontal="right"/>
    </xf>
    <xf numFmtId="0" fontId="23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12" fillId="0" borderId="47" xfId="0" applyAlignment="1">
      <alignment horizontal="center" vertical="center"/>
    </xf>
    <xf numFmtId="0" fontId="12" fillId="0" borderId="47" xfId="0" applyAlignment="1">
      <alignment horizontal="left" vertical="center"/>
    </xf>
    <xf numFmtId="3" fontId="12" fillId="0" borderId="63" xfId="0" applyNumberFormat="1" applyAlignment="1">
      <alignment horizontal="center" vertical="center"/>
    </xf>
    <xf numFmtId="3" fontId="12" fillId="0" borderId="47" xfId="0" applyNumberFormat="1" applyAlignment="1">
      <alignment horizontal="center" vertical="center"/>
    </xf>
    <xf numFmtId="3" fontId="12" fillId="0" borderId="0" xfId="0" applyNumberFormat="1" applyAlignment="1">
      <alignment/>
    </xf>
    <xf numFmtId="0" fontId="12" fillId="0" borderId="47" xfId="0" applyFill="1" applyAlignment="1">
      <alignment horizontal="center" vertical="center"/>
    </xf>
    <xf numFmtId="0" fontId="25" fillId="0" borderId="47" xfId="0" applyFont="1" applyFill="1" applyAlignment="1">
      <alignment horizontal="center" vertical="center"/>
    </xf>
    <xf numFmtId="3" fontId="25" fillId="0" borderId="63" xfId="0" applyNumberFormat="1" applyFill="1" applyAlignment="1">
      <alignment horizontal="center" vertical="center"/>
    </xf>
    <xf numFmtId="3" fontId="25" fillId="0" borderId="47" xfId="0" applyNumberFormat="1" applyFill="1" applyAlignment="1">
      <alignment horizontal="center" vertical="center"/>
    </xf>
    <xf numFmtId="0" fontId="12" fillId="0" borderId="0" xfId="0" applyFill="1" applyAlignment="1">
      <alignment/>
    </xf>
    <xf numFmtId="0" fontId="0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3" fontId="26" fillId="0" borderId="5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2" borderId="3" xfId="0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0" fontId="12" fillId="0" borderId="47" xfId="0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/>
    </xf>
    <xf numFmtId="0" fontId="1" fillId="2" borderId="4" xfId="0" applyFont="1" applyFill="1" applyBorder="1" applyAlignment="1">
      <alignment/>
    </xf>
    <xf numFmtId="3" fontId="26" fillId="0" borderId="5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1" fillId="2" borderId="4" xfId="0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2" borderId="4" xfId="0" applyFont="1" applyFill="1" applyBorder="1" applyAlignment="1">
      <alignment horizontal="center"/>
    </xf>
    <xf numFmtId="3" fontId="26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 wrapText="1"/>
    </xf>
    <xf numFmtId="3" fontId="26" fillId="0" borderId="5" xfId="0" applyNumberFormat="1" applyFont="1" applyBorder="1" applyAlignment="1">
      <alignment horizontal="center" wrapText="1"/>
    </xf>
    <xf numFmtId="3" fontId="12" fillId="0" borderId="0" xfId="0" applyNumberFormat="1" applyFill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3" fontId="15" fillId="0" borderId="64" xfId="0" applyNumberFormat="1" applyFont="1" applyFill="1" applyBorder="1" applyAlignment="1">
      <alignment horizontal="right"/>
    </xf>
    <xf numFmtId="0" fontId="4" fillId="3" borderId="51" xfId="0" applyFont="1" applyFill="1" applyBorder="1" applyAlignment="1">
      <alignment wrapText="1"/>
    </xf>
    <xf numFmtId="0" fontId="12" fillId="0" borderId="3" xfId="0" applyFont="1" applyFill="1" applyBorder="1" applyAlignment="1">
      <alignment/>
    </xf>
    <xf numFmtId="0" fontId="3" fillId="3" borderId="52" xfId="0" applyFont="1" applyFill="1" applyBorder="1" applyAlignment="1">
      <alignment/>
    </xf>
    <xf numFmtId="0" fontId="3" fillId="3" borderId="65" xfId="0" applyFont="1" applyFill="1" applyBorder="1" applyAlignment="1">
      <alignment wrapText="1"/>
    </xf>
    <xf numFmtId="3" fontId="3" fillId="3" borderId="4" xfId="0" applyNumberFormat="1" applyFont="1" applyFill="1" applyBorder="1" applyAlignment="1">
      <alignment wrapText="1"/>
    </xf>
    <xf numFmtId="0" fontId="12" fillId="0" borderId="64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3" fontId="15" fillId="0" borderId="64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0" fontId="3" fillId="0" borderId="5" xfId="0" applyFont="1" applyBorder="1" applyAlignment="1">
      <alignment wrapText="1"/>
    </xf>
    <xf numFmtId="3" fontId="3" fillId="0" borderId="67" xfId="0" applyNumberFormat="1" applyFont="1" applyBorder="1" applyAlignment="1">
      <alignment wrapText="1"/>
    </xf>
    <xf numFmtId="0" fontId="3" fillId="0" borderId="68" xfId="0" applyFont="1" applyBorder="1" applyAlignment="1">
      <alignment wrapText="1"/>
    </xf>
    <xf numFmtId="3" fontId="3" fillId="0" borderId="68" xfId="0" applyNumberFormat="1" applyFont="1" applyBorder="1" applyAlignment="1">
      <alignment wrapText="1"/>
    </xf>
    <xf numFmtId="3" fontId="0" fillId="0" borderId="5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69" xfId="0" applyFont="1" applyBorder="1" applyAlignment="1">
      <alignment wrapText="1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right"/>
    </xf>
    <xf numFmtId="0" fontId="3" fillId="3" borderId="5" xfId="0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0" fontId="0" fillId="0" borderId="25" xfId="0" applyFont="1" applyBorder="1" applyAlignment="1" quotePrefix="1">
      <alignment horizontal="right"/>
    </xf>
    <xf numFmtId="0" fontId="1" fillId="0" borderId="9" xfId="0" applyFont="1" applyBorder="1" applyAlignment="1">
      <alignment wrapText="1"/>
    </xf>
    <xf numFmtId="0" fontId="3" fillId="3" borderId="23" xfId="0" applyFont="1" applyFill="1" applyBorder="1" applyAlignment="1">
      <alignment horizontal="right"/>
    </xf>
    <xf numFmtId="0" fontId="3" fillId="3" borderId="23" xfId="0" applyFont="1" applyFill="1" applyBorder="1" applyAlignment="1">
      <alignment/>
    </xf>
    <xf numFmtId="0" fontId="3" fillId="3" borderId="23" xfId="0" applyFont="1" applyFill="1" applyBorder="1" applyAlignment="1">
      <alignment wrapText="1"/>
    </xf>
    <xf numFmtId="3" fontId="3" fillId="3" borderId="23" xfId="0" applyNumberFormat="1" applyFont="1" applyFill="1" applyBorder="1" applyAlignment="1">
      <alignment wrapText="1"/>
    </xf>
    <xf numFmtId="3" fontId="3" fillId="0" borderId="2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0" fontId="3" fillId="0" borderId="23" xfId="0" applyFont="1" applyBorder="1" applyAlignment="1">
      <alignment horizontal="left" wrapText="1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5" borderId="3" xfId="0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/>
    </xf>
    <xf numFmtId="3" fontId="4" fillId="0" borderId="2" xfId="0" applyNumberFormat="1" applyFont="1" applyBorder="1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3" fontId="1" fillId="0" borderId="13" xfId="0" applyNumberFormat="1" applyFont="1" applyBorder="1" applyAlignment="1">
      <alignment horizontal="centerContinuous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0" fillId="6" borderId="5" xfId="0" applyFont="1" applyFill="1" applyBorder="1" applyAlignment="1">
      <alignment/>
    </xf>
    <xf numFmtId="0" fontId="27" fillId="0" borderId="34" xfId="0" applyFont="1" applyBorder="1" applyAlignment="1">
      <alignment horizontal="left" wrapText="1"/>
    </xf>
    <xf numFmtId="3" fontId="27" fillId="3" borderId="11" xfId="0" applyNumberFormat="1" applyFont="1" applyFill="1" applyBorder="1" applyAlignment="1">
      <alignment horizontal="right"/>
    </xf>
    <xf numFmtId="3" fontId="27" fillId="6" borderId="34" xfId="0" applyNumberFormat="1" applyFont="1" applyFill="1" applyBorder="1" applyAlignment="1">
      <alignment/>
    </xf>
    <xf numFmtId="0" fontId="11" fillId="0" borderId="7" xfId="0" applyFont="1" applyBorder="1" applyAlignment="1">
      <alignment horizontal="center" wrapText="1"/>
    </xf>
    <xf numFmtId="3" fontId="11" fillId="3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3" fontId="1" fillId="3" borderId="5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0" fillId="6" borderId="11" xfId="0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0" fillId="6" borderId="3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27" fillId="0" borderId="16" xfId="0" applyFont="1" applyBorder="1" applyAlignment="1">
      <alignment horizontal="left" wrapText="1"/>
    </xf>
    <xf numFmtId="3" fontId="27" fillId="6" borderId="16" xfId="0" applyNumberFormat="1" applyFont="1" applyFill="1" applyBorder="1" applyAlignment="1">
      <alignment/>
    </xf>
    <xf numFmtId="0" fontId="27" fillId="0" borderId="8" xfId="0" applyFont="1" applyBorder="1" applyAlignment="1">
      <alignment horizontal="center" wrapText="1"/>
    </xf>
    <xf numFmtId="3" fontId="27" fillId="3" borderId="8" xfId="0" applyNumberFormat="1" applyFont="1" applyFill="1" applyBorder="1" applyAlignment="1">
      <alignment/>
    </xf>
    <xf numFmtId="3" fontId="27" fillId="6" borderId="8" xfId="0" applyNumberFormat="1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17" fillId="0" borderId="57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1009650" y="23431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23431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" name="AutoShape 1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" name="AutoShape 2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" name="AutoShape 2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" name="AutoShape 2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" name="AutoShape 2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" name="AutoShape 2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9" name="AutoShape 2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1" name="AutoShape 3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2" name="AutoShape 3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3" name="AutoShape 3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6" name="AutoShape 3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7" name="AutoShape 3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9" name="AutoShape 3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0" name="AutoShape 4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1" name="AutoShape 4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3" name="AutoShape 4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4" name="AutoShape 4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5" name="AutoShape 4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7" name="AutoShape 4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8" name="AutoShape 4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9" name="AutoShape 4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1" name="AutoShape 5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2" name="AutoShape 5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3" name="AutoShape 5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5" name="AutoShape 5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6" name="AutoShape 5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7" name="AutoShape 5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9" name="AutoShape 5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0" name="AutoShape 6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1" name="AutoShape 6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3" name="AutoShape 6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4" name="AutoShape 6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5" name="AutoShape 6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7" name="AutoShape 6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8" name="AutoShape 6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9" name="AutoShape 6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1" name="AutoShape 7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2" name="AutoShape 7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3" name="AutoShape 7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5" name="AutoShape 7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6" name="AutoShape 7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7" name="AutoShape 7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9" name="AutoShape 7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0" name="AutoShape 8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1" name="AutoShape 8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3" name="AutoShape 8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4" name="AutoShape 8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5" name="AutoShape 8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7" name="AutoShape 8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8" name="AutoShape 8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9" name="AutoShape 8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1" name="AutoShape 9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2" name="AutoShape 9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3" name="AutoShape 9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5" name="AutoShape 9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6" name="AutoShape 9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7" name="AutoShape 9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9" name="AutoShape 9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0" name="AutoShape 10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1" name="AutoShape 10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3" name="AutoShape 10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4" name="AutoShape 10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5" name="AutoShape 10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7" name="AutoShape 10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8" name="AutoShape 10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9" name="AutoShape 10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1" name="AutoShape 11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2" name="AutoShape 11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3" name="AutoShape 11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5" name="AutoShape 11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6" name="AutoShape 11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7" name="AutoShape 11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9" name="AutoShape 11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0" name="AutoShape 12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1" name="AutoShape 12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3" name="AutoShape 12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4" name="AutoShape 12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5" name="AutoShape 12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7" name="AutoShape 12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8" name="AutoShape 12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9" name="AutoShape 12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</xdr:row>
      <xdr:rowOff>0</xdr:rowOff>
    </xdr:from>
    <xdr:to>
      <xdr:col>1</xdr:col>
      <xdr:colOff>523875</xdr:colOff>
      <xdr:row>17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9650" y="38100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104900" y="38100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33" name="Arc 133"/>
        <xdr:cNvSpPr>
          <a:spLocks/>
        </xdr:cNvSpPr>
      </xdr:nvSpPr>
      <xdr:spPr>
        <a:xfrm>
          <a:off x="1009650" y="23431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34" name="Rysowanie 11"/>
        <xdr:cNvSpPr>
          <a:spLocks/>
        </xdr:cNvSpPr>
      </xdr:nvSpPr>
      <xdr:spPr>
        <a:xfrm>
          <a:off x="1104900" y="23431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5" name="AutoShape 13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6" name="AutoShape 13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7" name="AutoShape 13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9" name="AutoShape 13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0" name="AutoShape 14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1" name="AutoShape 14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3" name="AutoShape 14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4" name="AutoShape 14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5" name="AutoShape 14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7" name="AutoShape 14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8" name="AutoShape 14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9" name="AutoShape 14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1" name="AutoShape 15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2" name="AutoShape 15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3" name="AutoShape 15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5" name="AutoShape 15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6" name="AutoShape 15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7" name="AutoShape 15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9" name="AutoShape 15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0" name="AutoShape 16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1" name="AutoShape 16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3" name="AutoShape 16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4" name="AutoShape 16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5" name="AutoShape 16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7" name="AutoShape 16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8" name="AutoShape 16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9" name="AutoShape 16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1" name="AutoShape 17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2" name="AutoShape 17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3" name="AutoShape 17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5" name="AutoShape 17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6" name="AutoShape 17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7" name="AutoShape 17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9" name="AutoShape 17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0" name="AutoShape 18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1" name="AutoShape 18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3" name="AutoShape 18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4" name="AutoShape 18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5" name="AutoShape 18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7" name="AutoShape 18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8" name="AutoShape 18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9" name="AutoShape 18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1" name="AutoShape 19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2" name="AutoShape 19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3" name="AutoShape 19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5" name="AutoShape 19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6" name="AutoShape 19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7" name="AutoShape 19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9" name="AutoShape 19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0" name="AutoShape 20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1" name="AutoShape 20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3" name="AutoShape 20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4" name="AutoShape 20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5" name="AutoShape 20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7" name="AutoShape 20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8" name="AutoShape 20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9" name="AutoShape 20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1" name="AutoShape 21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2" name="AutoShape 21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3" name="AutoShape 21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5" name="AutoShape 21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6" name="AutoShape 21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7" name="AutoShape 21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9" name="AutoShape 21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0" name="AutoShape 22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1" name="AutoShape 22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3" name="AutoShape 22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4" name="AutoShape 22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5" name="AutoShape 22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7" name="AutoShape 22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8" name="AutoShape 22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9" name="AutoShape 22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1" name="AutoShape 23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2" name="AutoShape 23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3" name="AutoShape 23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5" name="AutoShape 23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6" name="AutoShape 23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7" name="AutoShape 23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9" name="AutoShape 23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0" name="AutoShape 24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1" name="AutoShape 24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3" name="AutoShape 24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4" name="AutoShape 24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5" name="AutoShape 24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7" name="AutoShape 24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8" name="AutoShape 24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9" name="AutoShape 24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1" name="AutoShape 25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2" name="AutoShape 25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3" name="AutoShape 25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5" name="AutoShape 25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6" name="AutoShape 25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7" name="AutoShape 25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9" name="AutoShape 25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60" name="AutoShape 26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61" name="AutoShape 26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</xdr:row>
      <xdr:rowOff>0</xdr:rowOff>
    </xdr:from>
    <xdr:to>
      <xdr:col>1</xdr:col>
      <xdr:colOff>523875</xdr:colOff>
      <xdr:row>17</xdr:row>
      <xdr:rowOff>0</xdr:rowOff>
    </xdr:to>
    <xdr:sp>
      <xdr:nvSpPr>
        <xdr:cNvPr id="263" name="Arc 263"/>
        <xdr:cNvSpPr>
          <a:spLocks/>
        </xdr:cNvSpPr>
      </xdr:nvSpPr>
      <xdr:spPr>
        <a:xfrm>
          <a:off x="1009650" y="38100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4" name="Rysowanie 11"/>
        <xdr:cNvSpPr>
          <a:spLocks/>
        </xdr:cNvSpPr>
      </xdr:nvSpPr>
      <xdr:spPr>
        <a:xfrm>
          <a:off x="1104900" y="38100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workbookViewId="0" topLeftCell="C49">
      <selection activeCell="E72" sqref="E72"/>
    </sheetView>
  </sheetViews>
  <sheetFormatPr defaultColWidth="9.00390625" defaultRowHeight="12.75"/>
  <cols>
    <col min="1" max="1" width="5.375" style="17" customWidth="1"/>
    <col min="2" max="3" width="7.75390625" style="17" customWidth="1"/>
    <col min="4" max="4" width="65.625" style="17" customWidth="1"/>
    <col min="5" max="5" width="22.75390625" style="17" customWidth="1"/>
    <col min="6" max="6" width="14.625" style="17" hidden="1" customWidth="1"/>
    <col min="7" max="7" width="20.00390625" style="17" customWidth="1"/>
    <col min="8" max="8" width="19.25390625" style="17" customWidth="1"/>
    <col min="9" max="9" width="12.00390625" style="17" customWidth="1"/>
    <col min="10" max="10" width="11.125" style="17" customWidth="1"/>
    <col min="11" max="11" width="15.25390625" style="17" customWidth="1"/>
    <col min="12" max="16384" width="9.125" style="17" customWidth="1"/>
  </cols>
  <sheetData>
    <row r="1" spans="2:8" ht="15" customHeight="1">
      <c r="B1" s="3"/>
      <c r="C1" s="3"/>
      <c r="G1" s="17" t="s">
        <v>121</v>
      </c>
      <c r="H1"/>
    </row>
    <row r="2" spans="7:8" ht="15.75" customHeight="1">
      <c r="G2" s="17" t="s">
        <v>166</v>
      </c>
      <c r="H2" s="16"/>
    </row>
    <row r="3" spans="4:8" ht="17.25" customHeight="1">
      <c r="D3" s="26" t="s">
        <v>41</v>
      </c>
      <c r="G3" s="17" t="s">
        <v>95</v>
      </c>
      <c r="H3" s="16"/>
    </row>
    <row r="4" spans="7:8" ht="17.25" customHeight="1">
      <c r="G4" s="17" t="s">
        <v>167</v>
      </c>
      <c r="H4" s="16"/>
    </row>
    <row r="5" ht="14.25" customHeight="1" thickBot="1">
      <c r="H5" s="64" t="s">
        <v>4</v>
      </c>
    </row>
    <row r="6" spans="1:8" ht="83.25" customHeight="1" thickBot="1" thickTop="1">
      <c r="A6" s="27" t="s">
        <v>0</v>
      </c>
      <c r="B6" s="27" t="s">
        <v>1</v>
      </c>
      <c r="C6" s="27" t="s">
        <v>2</v>
      </c>
      <c r="D6" s="28" t="s">
        <v>85</v>
      </c>
      <c r="E6" s="28" t="s">
        <v>58</v>
      </c>
      <c r="F6" s="28" t="s">
        <v>36</v>
      </c>
      <c r="G6" s="27" t="s">
        <v>60</v>
      </c>
      <c r="H6" s="28" t="s">
        <v>42</v>
      </c>
    </row>
    <row r="7" spans="1:8" s="29" customFormat="1" ht="15.75" customHeight="1" thickBot="1" thickTop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6</v>
      </c>
      <c r="H7" s="67">
        <v>7</v>
      </c>
    </row>
    <row r="8" spans="1:11" ht="18" customHeight="1" thickBot="1" thickTop="1">
      <c r="A8" s="30"/>
      <c r="B8" s="30"/>
      <c r="C8" s="30"/>
      <c r="D8" s="31" t="s">
        <v>43</v>
      </c>
      <c r="E8" s="32">
        <v>643398072</v>
      </c>
      <c r="F8" s="32"/>
      <c r="G8" s="32">
        <f>G10+G26</f>
        <v>1963000</v>
      </c>
      <c r="H8" s="32">
        <f>E8+G8</f>
        <v>645361072</v>
      </c>
      <c r="I8" s="21"/>
      <c r="J8" s="21"/>
      <c r="K8" s="21"/>
    </row>
    <row r="9" spans="1:8" ht="15" customHeight="1" thickTop="1">
      <c r="A9" s="8"/>
      <c r="B9" s="8"/>
      <c r="C9" s="8"/>
      <c r="D9" s="8" t="s">
        <v>40</v>
      </c>
      <c r="E9" s="9"/>
      <c r="F9" s="9"/>
      <c r="G9" s="9"/>
      <c r="H9" s="9"/>
    </row>
    <row r="10" spans="1:11" ht="19.5" customHeight="1" thickBot="1">
      <c r="A10" s="8"/>
      <c r="B10" s="8"/>
      <c r="C10" s="8"/>
      <c r="D10" s="33" t="s">
        <v>49</v>
      </c>
      <c r="E10" s="34">
        <v>441534933</v>
      </c>
      <c r="F10" s="34"/>
      <c r="G10" s="34">
        <f>G11+G12+G17+G18+G23</f>
        <v>1663000</v>
      </c>
      <c r="H10" s="34">
        <f aca="true" t="shared" si="0" ref="H10:H35">E10+G10</f>
        <v>443197933</v>
      </c>
      <c r="I10" s="21"/>
      <c r="K10" s="21"/>
    </row>
    <row r="11" spans="1:8" ht="18" customHeight="1" thickBot="1">
      <c r="A11" s="8"/>
      <c r="B11" s="8"/>
      <c r="C11" s="8"/>
      <c r="D11" s="35" t="s">
        <v>44</v>
      </c>
      <c r="E11" s="39">
        <v>289783520</v>
      </c>
      <c r="F11" s="36"/>
      <c r="G11" s="36"/>
      <c r="H11" s="36">
        <f t="shared" si="0"/>
        <v>289783520</v>
      </c>
    </row>
    <row r="12" spans="1:8" ht="18" customHeight="1" thickBot="1" thickTop="1">
      <c r="A12" s="19"/>
      <c r="B12" s="19"/>
      <c r="C12" s="19"/>
      <c r="D12" s="37" t="s">
        <v>45</v>
      </c>
      <c r="E12" s="39">
        <v>111480693</v>
      </c>
      <c r="F12" s="39"/>
      <c r="G12" s="39">
        <f>G13</f>
        <v>900000</v>
      </c>
      <c r="H12" s="39">
        <f t="shared" si="0"/>
        <v>112380693</v>
      </c>
    </row>
    <row r="13" spans="1:8" ht="19.5" customHeight="1" thickTop="1">
      <c r="A13" s="41">
        <v>758</v>
      </c>
      <c r="B13" s="42"/>
      <c r="C13" s="42"/>
      <c r="D13" s="43" t="s">
        <v>8</v>
      </c>
      <c r="E13" s="44">
        <v>111480693</v>
      </c>
      <c r="F13" s="44"/>
      <c r="G13" s="44">
        <f>G14</f>
        <v>900000</v>
      </c>
      <c r="H13" s="44">
        <f>E13+G13</f>
        <v>112380693</v>
      </c>
    </row>
    <row r="14" spans="1:8" ht="27.75" customHeight="1">
      <c r="A14" s="46"/>
      <c r="B14" s="62">
        <v>75801</v>
      </c>
      <c r="C14" s="62"/>
      <c r="D14" s="63" t="s">
        <v>9</v>
      </c>
      <c r="E14" s="78">
        <v>96336410</v>
      </c>
      <c r="F14" s="78"/>
      <c r="G14" s="78">
        <f>G15</f>
        <v>900000</v>
      </c>
      <c r="H14" s="78">
        <f>E14+G14</f>
        <v>97236410</v>
      </c>
    </row>
    <row r="15" spans="1:8" ht="21" customHeight="1">
      <c r="A15" s="74"/>
      <c r="B15" s="75"/>
      <c r="C15" s="75"/>
      <c r="D15" s="151" t="s">
        <v>10</v>
      </c>
      <c r="E15" s="168">
        <v>96336410</v>
      </c>
      <c r="F15" s="168"/>
      <c r="G15" s="168">
        <f>G16</f>
        <v>900000</v>
      </c>
      <c r="H15" s="168">
        <f>E15+G15</f>
        <v>97236410</v>
      </c>
    </row>
    <row r="16" spans="1:8" s="20" customFormat="1" ht="21" customHeight="1">
      <c r="A16" s="163"/>
      <c r="B16" s="164"/>
      <c r="C16" s="45">
        <v>292</v>
      </c>
      <c r="D16" s="166" t="s">
        <v>86</v>
      </c>
      <c r="E16" s="167">
        <v>96336410</v>
      </c>
      <c r="F16" s="167"/>
      <c r="G16" s="167">
        <v>900000</v>
      </c>
      <c r="H16" s="167">
        <f>E16+G16</f>
        <v>97236410</v>
      </c>
    </row>
    <row r="17" spans="1:8" ht="18" customHeight="1" thickBot="1">
      <c r="A17" s="8"/>
      <c r="B17" s="8"/>
      <c r="C17" s="8"/>
      <c r="D17" s="37" t="s">
        <v>46</v>
      </c>
      <c r="E17" s="39">
        <v>6178783</v>
      </c>
      <c r="F17" s="39"/>
      <c r="G17" s="39"/>
      <c r="H17" s="39">
        <f t="shared" si="0"/>
        <v>6178783</v>
      </c>
    </row>
    <row r="18" spans="1:8" ht="20.25" customHeight="1" thickBot="1" thickTop="1">
      <c r="A18" s="19"/>
      <c r="B18" s="19"/>
      <c r="C18" s="19"/>
      <c r="D18" s="37" t="s">
        <v>51</v>
      </c>
      <c r="E18" s="39">
        <v>50452</v>
      </c>
      <c r="F18" s="39"/>
      <c r="G18" s="39">
        <f>G19</f>
        <v>763000</v>
      </c>
      <c r="H18" s="39">
        <f t="shared" si="0"/>
        <v>813452</v>
      </c>
    </row>
    <row r="19" spans="1:8" ht="19.5" customHeight="1" thickTop="1">
      <c r="A19" s="41">
        <v>900</v>
      </c>
      <c r="B19" s="42"/>
      <c r="C19" s="42"/>
      <c r="D19" s="43" t="s">
        <v>11</v>
      </c>
      <c r="E19" s="44"/>
      <c r="F19" s="44"/>
      <c r="G19" s="44">
        <f>G20</f>
        <v>763000</v>
      </c>
      <c r="H19" s="44">
        <f t="shared" si="0"/>
        <v>763000</v>
      </c>
    </row>
    <row r="20" spans="1:8" ht="19.5" customHeight="1">
      <c r="A20" s="46"/>
      <c r="B20" s="62">
        <v>90003</v>
      </c>
      <c r="C20" s="62"/>
      <c r="D20" s="63" t="s">
        <v>13</v>
      </c>
      <c r="E20" s="78"/>
      <c r="F20" s="78"/>
      <c r="G20" s="78">
        <f>G21</f>
        <v>763000</v>
      </c>
      <c r="H20" s="78">
        <f t="shared" si="0"/>
        <v>763000</v>
      </c>
    </row>
    <row r="21" spans="1:8" ht="26.25" customHeight="1">
      <c r="A21" s="74"/>
      <c r="B21" s="75"/>
      <c r="C21" s="75"/>
      <c r="D21" s="151" t="s">
        <v>69</v>
      </c>
      <c r="E21" s="168"/>
      <c r="F21" s="168"/>
      <c r="G21" s="168">
        <f>G22</f>
        <v>763000</v>
      </c>
      <c r="H21" s="168">
        <f t="shared" si="0"/>
        <v>763000</v>
      </c>
    </row>
    <row r="22" spans="1:8" s="20" customFormat="1" ht="37.5" customHeight="1">
      <c r="A22" s="163"/>
      <c r="B22" s="164"/>
      <c r="C22" s="45">
        <v>661</v>
      </c>
      <c r="D22" s="166" t="s">
        <v>155</v>
      </c>
      <c r="E22" s="167"/>
      <c r="F22" s="167"/>
      <c r="G22" s="167">
        <v>763000</v>
      </c>
      <c r="H22" s="167">
        <f t="shared" si="0"/>
        <v>763000</v>
      </c>
    </row>
    <row r="23" spans="1:8" ht="27.75" customHeight="1">
      <c r="A23" s="8"/>
      <c r="B23" s="8"/>
      <c r="C23" s="8"/>
      <c r="D23" s="169" t="s">
        <v>47</v>
      </c>
      <c r="E23" s="170">
        <v>34041485</v>
      </c>
      <c r="F23" s="170"/>
      <c r="G23" s="170"/>
      <c r="H23" s="170">
        <f t="shared" si="0"/>
        <v>34041485</v>
      </c>
    </row>
    <row r="24" spans="4:8" s="135" customFormat="1" ht="22.5" customHeight="1">
      <c r="D24" s="136"/>
      <c r="E24" s="137"/>
      <c r="F24" s="137"/>
      <c r="G24" s="137"/>
      <c r="H24" s="137"/>
    </row>
    <row r="25" spans="4:8" s="18" customFormat="1" ht="21" customHeight="1">
      <c r="D25" s="138"/>
      <c r="E25" s="139"/>
      <c r="F25" s="139"/>
      <c r="G25" s="139"/>
      <c r="H25" s="139"/>
    </row>
    <row r="26" spans="1:9" ht="22.5" customHeight="1" thickBot="1">
      <c r="A26" s="8"/>
      <c r="B26" s="8"/>
      <c r="C26" s="8"/>
      <c r="D26" s="33" t="s">
        <v>48</v>
      </c>
      <c r="E26" s="34">
        <v>201863139</v>
      </c>
      <c r="F26" s="34"/>
      <c r="G26" s="34">
        <f>G27+G28+G33+G34+G35</f>
        <v>300000</v>
      </c>
      <c r="H26" s="34">
        <f t="shared" si="0"/>
        <v>202163139</v>
      </c>
      <c r="I26" s="21"/>
    </row>
    <row r="27" spans="1:9" s="18" customFormat="1" ht="19.5" customHeight="1" thickBot="1">
      <c r="A27" s="8"/>
      <c r="B27" s="8"/>
      <c r="C27" s="8"/>
      <c r="D27" s="79" t="s">
        <v>44</v>
      </c>
      <c r="E27" s="36">
        <v>16742654</v>
      </c>
      <c r="F27" s="36"/>
      <c r="G27" s="36"/>
      <c r="H27" s="36">
        <f t="shared" si="0"/>
        <v>16742654</v>
      </c>
      <c r="I27" s="65"/>
    </row>
    <row r="28" spans="1:8" ht="18" customHeight="1" thickBot="1" thickTop="1">
      <c r="A28" s="19"/>
      <c r="B28" s="19"/>
      <c r="C28" s="19"/>
      <c r="D28" s="37" t="s">
        <v>45</v>
      </c>
      <c r="E28" s="38">
        <v>138739658</v>
      </c>
      <c r="F28" s="38"/>
      <c r="G28" s="38">
        <f>G29</f>
        <v>300000</v>
      </c>
      <c r="H28" s="38">
        <f t="shared" si="0"/>
        <v>139039658</v>
      </c>
    </row>
    <row r="29" spans="1:8" ht="19.5" customHeight="1" thickTop="1">
      <c r="A29" s="41">
        <v>758</v>
      </c>
      <c r="B29" s="42"/>
      <c r="C29" s="42"/>
      <c r="D29" s="43" t="s">
        <v>8</v>
      </c>
      <c r="E29" s="44">
        <v>138739658</v>
      </c>
      <c r="F29" s="44"/>
      <c r="G29" s="44">
        <f>G30</f>
        <v>300000</v>
      </c>
      <c r="H29" s="44">
        <f t="shared" si="0"/>
        <v>139039658</v>
      </c>
    </row>
    <row r="30" spans="1:8" ht="27.75" customHeight="1">
      <c r="A30" s="46"/>
      <c r="B30" s="62">
        <v>75801</v>
      </c>
      <c r="C30" s="62"/>
      <c r="D30" s="63" t="s">
        <v>9</v>
      </c>
      <c r="E30" s="78">
        <v>117997830</v>
      </c>
      <c r="F30" s="78"/>
      <c r="G30" s="78">
        <f>G31</f>
        <v>300000</v>
      </c>
      <c r="H30" s="78">
        <f t="shared" si="0"/>
        <v>118297830</v>
      </c>
    </row>
    <row r="31" spans="1:8" ht="21" customHeight="1">
      <c r="A31" s="74"/>
      <c r="B31" s="75"/>
      <c r="C31" s="75"/>
      <c r="D31" s="151" t="s">
        <v>10</v>
      </c>
      <c r="E31" s="168">
        <v>117997830</v>
      </c>
      <c r="F31" s="168"/>
      <c r="G31" s="168">
        <f>G32</f>
        <v>300000</v>
      </c>
      <c r="H31" s="168">
        <f t="shared" si="0"/>
        <v>118297830</v>
      </c>
    </row>
    <row r="32" spans="1:8" s="20" customFormat="1" ht="21" customHeight="1">
      <c r="A32" s="163"/>
      <c r="B32" s="164"/>
      <c r="C32" s="45">
        <v>292</v>
      </c>
      <c r="D32" s="166" t="s">
        <v>86</v>
      </c>
      <c r="E32" s="167">
        <v>117997830</v>
      </c>
      <c r="F32" s="167"/>
      <c r="G32" s="167">
        <v>300000</v>
      </c>
      <c r="H32" s="167">
        <f t="shared" si="0"/>
        <v>118297830</v>
      </c>
    </row>
    <row r="33" spans="1:8" ht="21" customHeight="1" thickBot="1">
      <c r="A33" s="8"/>
      <c r="B33" s="8"/>
      <c r="C33" s="8"/>
      <c r="D33" s="37" t="s">
        <v>46</v>
      </c>
      <c r="E33" s="38">
        <v>23281163</v>
      </c>
      <c r="F33" s="38"/>
      <c r="G33" s="38"/>
      <c r="H33" s="38">
        <f t="shared" si="0"/>
        <v>23281163</v>
      </c>
    </row>
    <row r="34" spans="1:8" ht="19.5" customHeight="1" thickBot="1" thickTop="1">
      <c r="A34" s="8"/>
      <c r="B34" s="8"/>
      <c r="C34" s="8"/>
      <c r="D34" s="40" t="s">
        <v>51</v>
      </c>
      <c r="E34" s="88">
        <v>2774858</v>
      </c>
      <c r="F34" s="88"/>
      <c r="G34" s="88"/>
      <c r="H34" s="88">
        <f t="shared" si="0"/>
        <v>2774858</v>
      </c>
    </row>
    <row r="35" spans="1:8" ht="28.5" customHeight="1" thickBot="1" thickTop="1">
      <c r="A35" s="19"/>
      <c r="B35" s="19"/>
      <c r="C35" s="19"/>
      <c r="D35" s="37" t="s">
        <v>54</v>
      </c>
      <c r="E35" s="38">
        <v>20324806</v>
      </c>
      <c r="F35" s="38"/>
      <c r="G35" s="38"/>
      <c r="H35" s="38">
        <f t="shared" si="0"/>
        <v>20324806</v>
      </c>
    </row>
    <row r="36" ht="13.5" thickTop="1"/>
    <row r="38" ht="38.25">
      <c r="G38" s="431" t="s">
        <v>168</v>
      </c>
    </row>
  </sheetData>
  <printOptions horizontalCentered="1"/>
  <pageMargins left="0.5905511811023623" right="0.5905511811023623" top="0.6692913385826772" bottom="0.5905511811023623" header="0.5118110236220472" footer="0.3937007874015748"/>
  <pageSetup firstPageNumber="2" useFirstPageNumber="1" horizontalDpi="300" verticalDpi="3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75" zoomScaleNormal="75" workbookViewId="0" topLeftCell="D1">
      <selection activeCell="I8" sqref="I8"/>
    </sheetView>
  </sheetViews>
  <sheetFormatPr defaultColWidth="9.00390625" defaultRowHeight="12.75"/>
  <cols>
    <col min="1" max="1" width="5.25390625" style="17" customWidth="1"/>
    <col min="2" max="3" width="7.75390625" style="17" customWidth="1"/>
    <col min="4" max="4" width="53.375" style="17" customWidth="1"/>
    <col min="5" max="5" width="18.75390625" style="17" customWidth="1"/>
    <col min="6" max="7" width="14.75390625" style="17" customWidth="1"/>
    <col min="8" max="8" width="18.75390625" style="17" customWidth="1"/>
    <col min="9" max="9" width="11.875" style="17" customWidth="1"/>
    <col min="10" max="10" width="12.375" style="17" customWidth="1"/>
    <col min="11" max="11" width="9.125" style="17" customWidth="1"/>
    <col min="12" max="12" width="11.00390625" style="17" customWidth="1"/>
    <col min="13" max="16384" width="9.125" style="17" customWidth="1"/>
  </cols>
  <sheetData>
    <row r="1" spans="7:8" ht="18" customHeight="1">
      <c r="G1" s="17" t="s">
        <v>122</v>
      </c>
      <c r="H1" s="140"/>
    </row>
    <row r="2" spans="7:8" ht="18" customHeight="1">
      <c r="G2" s="17" t="s">
        <v>166</v>
      </c>
      <c r="H2" s="140"/>
    </row>
    <row r="3" spans="7:8" ht="18" customHeight="1">
      <c r="G3" s="17" t="s">
        <v>95</v>
      </c>
      <c r="H3" s="140"/>
    </row>
    <row r="4" spans="4:8" ht="18" customHeight="1">
      <c r="D4" s="14" t="s">
        <v>52</v>
      </c>
      <c r="G4" s="17" t="s">
        <v>167</v>
      </c>
      <c r="H4" s="140"/>
    </row>
    <row r="5" ht="18.75" customHeight="1" thickBot="1">
      <c r="H5" s="47" t="s">
        <v>4</v>
      </c>
    </row>
    <row r="6" spans="1:8" ht="81.75" customHeight="1" thickBot="1" thickTop="1">
      <c r="A6" s="27" t="s">
        <v>0</v>
      </c>
      <c r="B6" s="27" t="s">
        <v>1</v>
      </c>
      <c r="C6" s="27" t="s">
        <v>2</v>
      </c>
      <c r="D6" s="28" t="s">
        <v>87</v>
      </c>
      <c r="E6" s="28" t="s">
        <v>58</v>
      </c>
      <c r="F6" s="28" t="s">
        <v>36</v>
      </c>
      <c r="G6" s="28" t="s">
        <v>37</v>
      </c>
      <c r="H6" s="28" t="s">
        <v>42</v>
      </c>
    </row>
    <row r="7" spans="1:8" ht="16.5" customHeight="1" thickBot="1" thickTop="1">
      <c r="A7" s="15">
        <v>1</v>
      </c>
      <c r="B7" s="15">
        <v>2</v>
      </c>
      <c r="C7" s="15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</row>
    <row r="8" spans="1:12" ht="21" customHeight="1" thickBot="1" thickTop="1">
      <c r="A8" s="22"/>
      <c r="B8" s="49"/>
      <c r="C8" s="49"/>
      <c r="D8" s="50" t="s">
        <v>39</v>
      </c>
      <c r="E8" s="51">
        <v>667923072</v>
      </c>
      <c r="F8" s="51">
        <f>F10+F69+F70</f>
        <v>3339100</v>
      </c>
      <c r="G8" s="51">
        <f>G10+G69+G70</f>
        <v>6415100</v>
      </c>
      <c r="H8" s="51">
        <f>E8+G8-F8</f>
        <v>670999072</v>
      </c>
      <c r="I8" s="21"/>
      <c r="J8" s="21"/>
      <c r="K8" s="21"/>
      <c r="L8" s="21"/>
    </row>
    <row r="9" spans="1:10" ht="12.75" customHeight="1">
      <c r="A9" s="8"/>
      <c r="B9" s="8"/>
      <c r="C9" s="8"/>
      <c r="D9" s="8" t="s">
        <v>40</v>
      </c>
      <c r="E9" s="52"/>
      <c r="F9" s="52"/>
      <c r="G9" s="52"/>
      <c r="H9" s="52"/>
      <c r="J9" s="53"/>
    </row>
    <row r="10" spans="1:12" ht="19.5" customHeight="1" thickBot="1">
      <c r="A10" s="54"/>
      <c r="B10" s="54"/>
      <c r="C10" s="54"/>
      <c r="D10" s="4" t="s">
        <v>6</v>
      </c>
      <c r="E10" s="55">
        <v>610582423</v>
      </c>
      <c r="F10" s="55">
        <f>F15+F45+F63+F11+F35</f>
        <v>3339100</v>
      </c>
      <c r="G10" s="55">
        <f>G15+G45+G63+G11+G35</f>
        <v>6415100</v>
      </c>
      <c r="H10" s="55">
        <f aca="true" t="shared" si="0" ref="H10:H34">E10+G10-F10</f>
        <v>613658423</v>
      </c>
      <c r="J10" s="21"/>
      <c r="L10" s="21"/>
    </row>
    <row r="11" spans="1:12" ht="19.5" customHeight="1" thickTop="1">
      <c r="A11" s="5">
        <v>758</v>
      </c>
      <c r="B11" s="5"/>
      <c r="C11" s="5"/>
      <c r="D11" s="5" t="s">
        <v>8</v>
      </c>
      <c r="E11" s="6">
        <v>3136639</v>
      </c>
      <c r="F11" s="6">
        <f>F12</f>
        <v>325000</v>
      </c>
      <c r="G11" s="6"/>
      <c r="H11" s="6">
        <f t="shared" si="0"/>
        <v>2811639</v>
      </c>
      <c r="J11" s="21"/>
      <c r="L11" s="21"/>
    </row>
    <row r="12" spans="1:12" s="56" customFormat="1" ht="19.5" customHeight="1">
      <c r="A12" s="8"/>
      <c r="B12" s="7">
        <v>75818</v>
      </c>
      <c r="C12" s="7"/>
      <c r="D12" s="7" t="s">
        <v>105</v>
      </c>
      <c r="E12" s="68">
        <v>3086639</v>
      </c>
      <c r="F12" s="68">
        <f>F13</f>
        <v>325000</v>
      </c>
      <c r="G12" s="68"/>
      <c r="H12" s="68">
        <f t="shared" si="0"/>
        <v>2761639</v>
      </c>
      <c r="J12" s="81"/>
      <c r="L12" s="81"/>
    </row>
    <row r="13" spans="1:12" s="56" customFormat="1" ht="19.5" customHeight="1">
      <c r="A13" s="8"/>
      <c r="B13" s="60"/>
      <c r="C13" s="60"/>
      <c r="D13" s="77" t="s">
        <v>106</v>
      </c>
      <c r="E13" s="66">
        <v>2986639</v>
      </c>
      <c r="F13" s="66">
        <f>F14</f>
        <v>325000</v>
      </c>
      <c r="G13" s="66"/>
      <c r="H13" s="66">
        <f t="shared" si="0"/>
        <v>2661639</v>
      </c>
      <c r="J13" s="81"/>
      <c r="L13" s="81"/>
    </row>
    <row r="14" spans="1:12" s="145" customFormat="1" ht="19.5" customHeight="1">
      <c r="A14" s="13"/>
      <c r="B14" s="13"/>
      <c r="C14" s="13">
        <v>4810</v>
      </c>
      <c r="D14" s="13" t="s">
        <v>107</v>
      </c>
      <c r="E14" s="10">
        <v>2986639</v>
      </c>
      <c r="F14" s="10">
        <v>325000</v>
      </c>
      <c r="G14" s="10"/>
      <c r="H14" s="10">
        <f t="shared" si="0"/>
        <v>2661639</v>
      </c>
      <c r="J14" s="171"/>
      <c r="L14" s="171"/>
    </row>
    <row r="15" spans="1:12" ht="19.5" customHeight="1">
      <c r="A15" s="5">
        <v>801</v>
      </c>
      <c r="B15" s="5"/>
      <c r="C15" s="5"/>
      <c r="D15" s="5" t="s">
        <v>55</v>
      </c>
      <c r="E15" s="6">
        <v>251711804</v>
      </c>
      <c r="F15" s="6">
        <f>F16+F22+F28+F31</f>
        <v>2250000</v>
      </c>
      <c r="G15" s="6">
        <f>G16+G22+G28+G31</f>
        <v>5293000</v>
      </c>
      <c r="H15" s="6">
        <f t="shared" si="0"/>
        <v>254754804</v>
      </c>
      <c r="J15" s="21"/>
      <c r="L15" s="21"/>
    </row>
    <row r="16" spans="1:12" s="56" customFormat="1" ht="19.5" customHeight="1">
      <c r="A16" s="8"/>
      <c r="B16" s="7">
        <v>80101</v>
      </c>
      <c r="C16" s="7"/>
      <c r="D16" s="7" t="s">
        <v>32</v>
      </c>
      <c r="E16" s="68">
        <v>81994759</v>
      </c>
      <c r="F16" s="68"/>
      <c r="G16" s="68">
        <f>G17+G19</f>
        <v>3216000</v>
      </c>
      <c r="H16" s="68">
        <f t="shared" si="0"/>
        <v>85210759</v>
      </c>
      <c r="J16" s="81"/>
      <c r="L16" s="81"/>
    </row>
    <row r="17" spans="1:12" s="56" customFormat="1" ht="18.75" customHeight="1">
      <c r="A17" s="8"/>
      <c r="B17" s="60"/>
      <c r="C17" s="60"/>
      <c r="D17" s="77" t="s">
        <v>59</v>
      </c>
      <c r="E17" s="66">
        <v>11633025</v>
      </c>
      <c r="F17" s="66"/>
      <c r="G17" s="66">
        <f>G18</f>
        <v>716000</v>
      </c>
      <c r="H17" s="66">
        <f t="shared" si="0"/>
        <v>12349025</v>
      </c>
      <c r="J17" s="81"/>
      <c r="L17" s="81"/>
    </row>
    <row r="18" spans="1:12" s="145" customFormat="1" ht="18.75" customHeight="1">
      <c r="A18" s="11"/>
      <c r="B18" s="11"/>
      <c r="C18" s="13">
        <v>4270</v>
      </c>
      <c r="D18" s="13" t="s">
        <v>88</v>
      </c>
      <c r="E18" s="10">
        <v>85120</v>
      </c>
      <c r="F18" s="10"/>
      <c r="G18" s="10">
        <f>686000+30000</f>
        <v>716000</v>
      </c>
      <c r="H18" s="10">
        <f t="shared" si="0"/>
        <v>801120</v>
      </c>
      <c r="J18" s="171"/>
      <c r="L18" s="171"/>
    </row>
    <row r="19" spans="1:12" s="56" customFormat="1" ht="18.75" customHeight="1">
      <c r="A19" s="8"/>
      <c r="B19" s="8"/>
      <c r="C19" s="8"/>
      <c r="D19" s="77" t="s">
        <v>89</v>
      </c>
      <c r="E19" s="66">
        <v>3363331</v>
      </c>
      <c r="F19" s="66"/>
      <c r="G19" s="66">
        <f>G21</f>
        <v>2500000</v>
      </c>
      <c r="H19" s="66">
        <f t="shared" si="0"/>
        <v>5863331</v>
      </c>
      <c r="J19" s="81"/>
      <c r="L19" s="81"/>
    </row>
    <row r="20" spans="1:12" s="145" customFormat="1" ht="18.75" customHeight="1">
      <c r="A20" s="11"/>
      <c r="B20" s="11"/>
      <c r="C20" s="11"/>
      <c r="D20" s="176" t="s">
        <v>84</v>
      </c>
      <c r="E20" s="177"/>
      <c r="F20" s="177"/>
      <c r="G20" s="177">
        <f>G21</f>
        <v>2500000</v>
      </c>
      <c r="H20" s="177">
        <f t="shared" si="0"/>
        <v>2500000</v>
      </c>
      <c r="J20" s="171"/>
      <c r="L20" s="171"/>
    </row>
    <row r="21" spans="1:12" s="145" customFormat="1" ht="18.75" customHeight="1">
      <c r="A21" s="11"/>
      <c r="B21" s="13"/>
      <c r="C21" s="13">
        <v>6050</v>
      </c>
      <c r="D21" s="13" t="s">
        <v>90</v>
      </c>
      <c r="E21" s="10">
        <v>3350525</v>
      </c>
      <c r="F21" s="10"/>
      <c r="G21" s="10">
        <v>2500000</v>
      </c>
      <c r="H21" s="10">
        <f t="shared" si="0"/>
        <v>5850525</v>
      </c>
      <c r="J21" s="171"/>
      <c r="L21" s="171"/>
    </row>
    <row r="22" spans="1:12" ht="19.5" customHeight="1">
      <c r="A22" s="22"/>
      <c r="B22" s="54">
        <v>80110</v>
      </c>
      <c r="C22" s="54"/>
      <c r="D22" s="54" t="s">
        <v>33</v>
      </c>
      <c r="E22" s="76">
        <v>46786877</v>
      </c>
      <c r="F22" s="76"/>
      <c r="G22" s="76">
        <f>G23+G25</f>
        <v>1777000</v>
      </c>
      <c r="H22" s="76">
        <f t="shared" si="0"/>
        <v>48563877</v>
      </c>
      <c r="J22" s="21"/>
      <c r="L22" s="21"/>
    </row>
    <row r="23" spans="1:12" ht="18.75" customHeight="1">
      <c r="A23" s="8"/>
      <c r="B23" s="60"/>
      <c r="C23" s="60"/>
      <c r="D23" s="77" t="s">
        <v>59</v>
      </c>
      <c r="E23" s="66">
        <v>6503216</v>
      </c>
      <c r="F23" s="66"/>
      <c r="G23" s="66">
        <f>G24</f>
        <v>214000</v>
      </c>
      <c r="H23" s="66">
        <f t="shared" si="0"/>
        <v>6717216</v>
      </c>
      <c r="J23" s="21"/>
      <c r="L23" s="21"/>
    </row>
    <row r="24" spans="1:12" s="20" customFormat="1" ht="18.75" customHeight="1">
      <c r="A24" s="11"/>
      <c r="B24" s="11"/>
      <c r="C24" s="13">
        <v>4270</v>
      </c>
      <c r="D24" s="13" t="s">
        <v>88</v>
      </c>
      <c r="E24" s="10">
        <v>161116</v>
      </c>
      <c r="F24" s="10"/>
      <c r="G24" s="10">
        <v>214000</v>
      </c>
      <c r="H24" s="10">
        <f t="shared" si="0"/>
        <v>375116</v>
      </c>
      <c r="J24" s="172"/>
      <c r="L24" s="172"/>
    </row>
    <row r="25" spans="1:12" ht="18.75" customHeight="1">
      <c r="A25" s="8"/>
      <c r="B25" s="8"/>
      <c r="C25" s="8"/>
      <c r="D25" s="77" t="s">
        <v>91</v>
      </c>
      <c r="E25" s="66">
        <v>2783276</v>
      </c>
      <c r="F25" s="66"/>
      <c r="G25" s="66">
        <f>G27</f>
        <v>1563000</v>
      </c>
      <c r="H25" s="66">
        <f t="shared" si="0"/>
        <v>4346276</v>
      </c>
      <c r="J25" s="21"/>
      <c r="L25" s="21"/>
    </row>
    <row r="26" spans="1:12" s="20" customFormat="1" ht="18.75" customHeight="1">
      <c r="A26" s="11"/>
      <c r="B26" s="11"/>
      <c r="C26" s="11"/>
      <c r="D26" s="176" t="s">
        <v>84</v>
      </c>
      <c r="E26" s="177"/>
      <c r="F26" s="177"/>
      <c r="G26" s="177">
        <f>G27</f>
        <v>1563000</v>
      </c>
      <c r="H26" s="177">
        <f t="shared" si="0"/>
        <v>1563000</v>
      </c>
      <c r="J26" s="172"/>
      <c r="L26" s="172"/>
    </row>
    <row r="27" spans="1:12" s="20" customFormat="1" ht="18.75" customHeight="1">
      <c r="A27" s="13"/>
      <c r="B27" s="13"/>
      <c r="C27" s="13">
        <v>6050</v>
      </c>
      <c r="D27" s="13" t="s">
        <v>90</v>
      </c>
      <c r="E27" s="10">
        <v>2783276</v>
      </c>
      <c r="F27" s="10"/>
      <c r="G27" s="10">
        <v>1563000</v>
      </c>
      <c r="H27" s="10">
        <f t="shared" si="0"/>
        <v>4346276</v>
      </c>
      <c r="J27" s="172"/>
      <c r="L27" s="172"/>
    </row>
    <row r="28" spans="1:12" s="3" customFormat="1" ht="19.5" customHeight="1">
      <c r="A28" s="22"/>
      <c r="B28" s="54">
        <v>80120</v>
      </c>
      <c r="C28" s="54"/>
      <c r="D28" s="54" t="s">
        <v>34</v>
      </c>
      <c r="E28" s="76">
        <v>38279555</v>
      </c>
      <c r="F28" s="76"/>
      <c r="G28" s="76">
        <f>G29</f>
        <v>300000</v>
      </c>
      <c r="H28" s="76">
        <f t="shared" si="0"/>
        <v>38579555</v>
      </c>
      <c r="J28" s="53"/>
      <c r="L28" s="53"/>
    </row>
    <row r="29" spans="1:12" ht="19.5" customHeight="1">
      <c r="A29" s="8"/>
      <c r="B29" s="60"/>
      <c r="C29" s="60"/>
      <c r="D29" s="77" t="s">
        <v>59</v>
      </c>
      <c r="E29" s="66">
        <v>4669650</v>
      </c>
      <c r="F29" s="66"/>
      <c r="G29" s="66">
        <f>G30</f>
        <v>300000</v>
      </c>
      <c r="H29" s="66">
        <f t="shared" si="0"/>
        <v>4969650</v>
      </c>
      <c r="J29" s="21"/>
      <c r="L29" s="21"/>
    </row>
    <row r="30" spans="1:12" s="18" customFormat="1" ht="19.5" customHeight="1">
      <c r="A30" s="8"/>
      <c r="B30" s="19"/>
      <c r="C30" s="13">
        <v>4270</v>
      </c>
      <c r="D30" s="13" t="s">
        <v>88</v>
      </c>
      <c r="E30" s="218">
        <v>134627</v>
      </c>
      <c r="F30" s="218"/>
      <c r="G30" s="218">
        <v>300000</v>
      </c>
      <c r="H30" s="218">
        <f t="shared" si="0"/>
        <v>434627</v>
      </c>
      <c r="J30" s="175"/>
      <c r="L30" s="175"/>
    </row>
    <row r="31" spans="1:12" s="3" customFormat="1" ht="19.5" customHeight="1">
      <c r="A31" s="22"/>
      <c r="B31" s="54">
        <v>80130</v>
      </c>
      <c r="C31" s="54"/>
      <c r="D31" s="54" t="s">
        <v>35</v>
      </c>
      <c r="E31" s="76">
        <v>53439598</v>
      </c>
      <c r="F31" s="76">
        <f>F32</f>
        <v>2250000</v>
      </c>
      <c r="G31" s="76"/>
      <c r="H31" s="76">
        <f t="shared" si="0"/>
        <v>51189598</v>
      </c>
      <c r="J31" s="53"/>
      <c r="L31" s="53"/>
    </row>
    <row r="32" spans="1:12" ht="19.5" customHeight="1">
      <c r="A32" s="8"/>
      <c r="B32" s="8"/>
      <c r="C32" s="8"/>
      <c r="D32" s="60" t="s">
        <v>89</v>
      </c>
      <c r="E32" s="66">
        <v>6208513</v>
      </c>
      <c r="F32" s="66">
        <f>F34</f>
        <v>2250000</v>
      </c>
      <c r="G32" s="66"/>
      <c r="H32" s="66">
        <f t="shared" si="0"/>
        <v>3958513</v>
      </c>
      <c r="J32" s="21"/>
      <c r="L32" s="21"/>
    </row>
    <row r="33" spans="1:12" s="20" customFormat="1" ht="19.5" customHeight="1">
      <c r="A33" s="11"/>
      <c r="B33" s="11"/>
      <c r="C33" s="11"/>
      <c r="D33" s="176" t="s">
        <v>19</v>
      </c>
      <c r="E33" s="177">
        <v>6000000</v>
      </c>
      <c r="F33" s="177">
        <f>F34</f>
        <v>2250000</v>
      </c>
      <c r="G33" s="177"/>
      <c r="H33" s="177">
        <f t="shared" si="0"/>
        <v>3750000</v>
      </c>
      <c r="J33" s="172"/>
      <c r="L33" s="172"/>
    </row>
    <row r="34" spans="1:12" s="20" customFormat="1" ht="19.5" customHeight="1">
      <c r="A34" s="13"/>
      <c r="B34" s="13"/>
      <c r="C34" s="13">
        <v>6050</v>
      </c>
      <c r="D34" s="13" t="s">
        <v>90</v>
      </c>
      <c r="E34" s="10">
        <v>6200000</v>
      </c>
      <c r="F34" s="10">
        <v>2250000</v>
      </c>
      <c r="G34" s="10"/>
      <c r="H34" s="10">
        <f t="shared" si="0"/>
        <v>3950000</v>
      </c>
      <c r="J34" s="172"/>
      <c r="L34" s="172"/>
    </row>
    <row r="35" spans="1:9" s="18" customFormat="1" ht="19.5" customHeight="1">
      <c r="A35" s="42">
        <v>851</v>
      </c>
      <c r="B35" s="5"/>
      <c r="C35" s="5"/>
      <c r="D35" s="43" t="s">
        <v>108</v>
      </c>
      <c r="E35" s="44">
        <v>8861000</v>
      </c>
      <c r="F35" s="44">
        <f>F36+F39</f>
        <v>14100</v>
      </c>
      <c r="G35" s="44">
        <f>G36+G39</f>
        <v>339100</v>
      </c>
      <c r="H35" s="44">
        <f aca="true" t="shared" si="1" ref="H35:H44">E35-F35+G35</f>
        <v>9186000</v>
      </c>
      <c r="I35" s="80"/>
    </row>
    <row r="36" spans="1:9" s="90" customFormat="1" ht="19.5" customHeight="1">
      <c r="A36" s="85"/>
      <c r="B36" s="220">
        <v>85121</v>
      </c>
      <c r="C36" s="220"/>
      <c r="D36" s="91" t="s">
        <v>109</v>
      </c>
      <c r="E36" s="12">
        <v>3651000</v>
      </c>
      <c r="F36" s="12"/>
      <c r="G36" s="12">
        <f>G37</f>
        <v>325000</v>
      </c>
      <c r="H36" s="12">
        <f t="shared" si="1"/>
        <v>3976000</v>
      </c>
      <c r="I36" s="80"/>
    </row>
    <row r="37" spans="1:9" s="18" customFormat="1" ht="19.5" customHeight="1">
      <c r="A37" s="8"/>
      <c r="B37" s="8"/>
      <c r="C37" s="8"/>
      <c r="D37" s="24" t="s">
        <v>110</v>
      </c>
      <c r="E37" s="25">
        <v>1935000</v>
      </c>
      <c r="F37" s="25"/>
      <c r="G37" s="25">
        <f>G38</f>
        <v>325000</v>
      </c>
      <c r="H37" s="25">
        <f t="shared" si="1"/>
        <v>2260000</v>
      </c>
      <c r="I37" s="80"/>
    </row>
    <row r="38" spans="1:9" s="130" customFormat="1" ht="19.5" customHeight="1">
      <c r="A38" s="11"/>
      <c r="B38" s="13"/>
      <c r="C38" s="13">
        <v>4280</v>
      </c>
      <c r="D38" s="173" t="s">
        <v>111</v>
      </c>
      <c r="E38" s="174">
        <v>1935000</v>
      </c>
      <c r="F38" s="174"/>
      <c r="G38" s="174">
        <v>325000</v>
      </c>
      <c r="H38" s="174">
        <f t="shared" si="1"/>
        <v>2260000</v>
      </c>
      <c r="I38" s="80"/>
    </row>
    <row r="39" spans="1:9" s="90" customFormat="1" ht="19.5" customHeight="1">
      <c r="A39" s="22"/>
      <c r="B39" s="220">
        <v>85154</v>
      </c>
      <c r="C39" s="220"/>
      <c r="D39" s="91" t="s">
        <v>112</v>
      </c>
      <c r="E39" s="12">
        <v>4500000</v>
      </c>
      <c r="F39" s="12">
        <f>F40</f>
        <v>14100</v>
      </c>
      <c r="G39" s="12">
        <f>G40</f>
        <v>14100</v>
      </c>
      <c r="H39" s="12">
        <f t="shared" si="1"/>
        <v>4500000</v>
      </c>
      <c r="I39" s="80"/>
    </row>
    <row r="40" spans="1:9" s="130" customFormat="1" ht="25.5" customHeight="1">
      <c r="A40" s="11"/>
      <c r="B40" s="11"/>
      <c r="C40" s="60"/>
      <c r="D40" s="223" t="s">
        <v>113</v>
      </c>
      <c r="E40" s="225">
        <v>4500000</v>
      </c>
      <c r="F40" s="225">
        <f>F41</f>
        <v>14100</v>
      </c>
      <c r="G40" s="225">
        <f>G41</f>
        <v>14100</v>
      </c>
      <c r="H40" s="225">
        <f t="shared" si="1"/>
        <v>4500000</v>
      </c>
      <c r="I40" s="80"/>
    </row>
    <row r="41" spans="1:9" s="130" customFormat="1" ht="24.75" customHeight="1">
      <c r="A41" s="11"/>
      <c r="B41" s="11"/>
      <c r="C41" s="8"/>
      <c r="D41" s="224" t="s">
        <v>114</v>
      </c>
      <c r="E41" s="226">
        <v>1582000</v>
      </c>
      <c r="F41" s="226">
        <f>SUM(F42:F44)</f>
        <v>14100</v>
      </c>
      <c r="G41" s="226">
        <f>SUM(G42:G44)</f>
        <v>14100</v>
      </c>
      <c r="H41" s="226">
        <f t="shared" si="1"/>
        <v>1582000</v>
      </c>
      <c r="I41" s="80"/>
    </row>
    <row r="42" spans="1:9" s="130" customFormat="1" ht="27.75" customHeight="1">
      <c r="A42" s="11"/>
      <c r="B42" s="11"/>
      <c r="C42" s="173">
        <v>2810</v>
      </c>
      <c r="D42" s="173" t="s">
        <v>115</v>
      </c>
      <c r="E42" s="174">
        <v>32750</v>
      </c>
      <c r="F42" s="174">
        <v>1000</v>
      </c>
      <c r="G42" s="174"/>
      <c r="H42" s="174">
        <f t="shared" si="1"/>
        <v>31750</v>
      </c>
      <c r="I42" s="80"/>
    </row>
    <row r="43" spans="1:9" s="130" customFormat="1" ht="40.5" customHeight="1">
      <c r="A43" s="11"/>
      <c r="B43" s="11"/>
      <c r="C43" s="173">
        <v>2820</v>
      </c>
      <c r="D43" s="173" t="s">
        <v>116</v>
      </c>
      <c r="E43" s="174">
        <v>285000</v>
      </c>
      <c r="F43" s="174">
        <v>13100</v>
      </c>
      <c r="G43" s="174"/>
      <c r="H43" s="174">
        <f t="shared" si="1"/>
        <v>271900</v>
      </c>
      <c r="I43" s="80"/>
    </row>
    <row r="44" spans="1:9" s="130" customFormat="1" ht="19.5" customHeight="1">
      <c r="A44" s="13"/>
      <c r="B44" s="13"/>
      <c r="C44" s="13">
        <v>4300</v>
      </c>
      <c r="D44" s="173" t="s">
        <v>7</v>
      </c>
      <c r="E44" s="174">
        <v>920738</v>
      </c>
      <c r="F44" s="174"/>
      <c r="G44" s="174">
        <v>14100</v>
      </c>
      <c r="H44" s="174">
        <f t="shared" si="1"/>
        <v>934838</v>
      </c>
      <c r="I44" s="80"/>
    </row>
    <row r="45" spans="1:9" s="18" customFormat="1" ht="19.5" customHeight="1">
      <c r="A45" s="42">
        <v>900</v>
      </c>
      <c r="B45" s="5"/>
      <c r="C45" s="5"/>
      <c r="D45" s="43" t="s">
        <v>11</v>
      </c>
      <c r="E45" s="44">
        <v>32728160</v>
      </c>
      <c r="F45" s="44">
        <f>F46+F52+F55+F59</f>
        <v>500000</v>
      </c>
      <c r="G45" s="44">
        <f>G46+G52+G55+G59</f>
        <v>783000</v>
      </c>
      <c r="H45" s="44">
        <f aca="true" t="shared" si="2" ref="H45:H50">E45-F45+G45</f>
        <v>33011160</v>
      </c>
      <c r="I45" s="80"/>
    </row>
    <row r="46" spans="1:9" s="90" customFormat="1" ht="19.5" customHeight="1">
      <c r="A46" s="85"/>
      <c r="B46" s="220">
        <v>90003</v>
      </c>
      <c r="C46" s="220"/>
      <c r="D46" s="91" t="s">
        <v>13</v>
      </c>
      <c r="E46" s="12">
        <v>17452000</v>
      </c>
      <c r="F46" s="12">
        <f>F47+F49</f>
        <v>300000</v>
      </c>
      <c r="G46" s="12"/>
      <c r="H46" s="12">
        <f t="shared" si="2"/>
        <v>17152000</v>
      </c>
      <c r="I46" s="80"/>
    </row>
    <row r="47" spans="1:9" s="18" customFormat="1" ht="19.5" customHeight="1">
      <c r="A47" s="8"/>
      <c r="B47" s="8"/>
      <c r="C47" s="8"/>
      <c r="D47" s="24" t="s">
        <v>14</v>
      </c>
      <c r="E47" s="25">
        <v>1740000</v>
      </c>
      <c r="F47" s="25">
        <f>F48</f>
        <v>200000</v>
      </c>
      <c r="G47" s="25"/>
      <c r="H47" s="25">
        <f t="shared" si="2"/>
        <v>1540000</v>
      </c>
      <c r="I47" s="80"/>
    </row>
    <row r="48" spans="1:9" s="130" customFormat="1" ht="19.5" customHeight="1">
      <c r="A48" s="11"/>
      <c r="B48" s="11"/>
      <c r="C48" s="13">
        <v>4300</v>
      </c>
      <c r="D48" s="173" t="s">
        <v>7</v>
      </c>
      <c r="E48" s="174">
        <v>1740000</v>
      </c>
      <c r="F48" s="174">
        <v>200000</v>
      </c>
      <c r="G48" s="174"/>
      <c r="H48" s="174">
        <f t="shared" si="2"/>
        <v>1540000</v>
      </c>
      <c r="I48" s="80"/>
    </row>
    <row r="49" spans="1:12" s="18" customFormat="1" ht="19.5" customHeight="1">
      <c r="A49" s="8"/>
      <c r="B49" s="8"/>
      <c r="C49" s="8"/>
      <c r="D49" s="77" t="s">
        <v>15</v>
      </c>
      <c r="E49" s="66">
        <v>1000000</v>
      </c>
      <c r="F49" s="66">
        <f>F50</f>
        <v>100000</v>
      </c>
      <c r="G49" s="66"/>
      <c r="H49" s="66">
        <f t="shared" si="2"/>
        <v>900000</v>
      </c>
      <c r="J49" s="175"/>
      <c r="L49" s="175"/>
    </row>
    <row r="50" spans="1:12" s="130" customFormat="1" ht="19.5" customHeight="1">
      <c r="A50" s="11"/>
      <c r="B50" s="11"/>
      <c r="C50" s="11">
        <v>4300</v>
      </c>
      <c r="D50" s="11" t="s">
        <v>7</v>
      </c>
      <c r="E50" s="143">
        <v>1000000</v>
      </c>
      <c r="F50" s="143">
        <v>100000</v>
      </c>
      <c r="G50" s="143"/>
      <c r="H50" s="143">
        <f t="shared" si="2"/>
        <v>900000</v>
      </c>
      <c r="J50" s="113"/>
      <c r="L50" s="113"/>
    </row>
    <row r="51" spans="1:12" s="130" customFormat="1" ht="40.5" customHeight="1">
      <c r="A51" s="198"/>
      <c r="B51" s="198"/>
      <c r="C51" s="198"/>
      <c r="D51" s="198"/>
      <c r="E51" s="219"/>
      <c r="F51" s="219"/>
      <c r="G51" s="219"/>
      <c r="H51" s="219"/>
      <c r="J51" s="113"/>
      <c r="L51" s="113"/>
    </row>
    <row r="52" spans="1:9" s="90" customFormat="1" ht="19.5" customHeight="1">
      <c r="A52" s="22"/>
      <c r="B52" s="23">
        <v>90004</v>
      </c>
      <c r="C52" s="23"/>
      <c r="D52" s="73" t="s">
        <v>16</v>
      </c>
      <c r="E52" s="72">
        <v>2700000</v>
      </c>
      <c r="F52" s="72">
        <f>F53</f>
        <v>200000</v>
      </c>
      <c r="G52" s="72"/>
      <c r="H52" s="72">
        <f aca="true" t="shared" si="3" ref="H52:H68">E52-F52+G52</f>
        <v>2500000</v>
      </c>
      <c r="I52" s="80"/>
    </row>
    <row r="53" spans="1:9" s="18" customFormat="1" ht="19.5" customHeight="1">
      <c r="A53" s="8"/>
      <c r="B53" s="60"/>
      <c r="C53" s="60"/>
      <c r="D53" s="24" t="s">
        <v>70</v>
      </c>
      <c r="E53" s="25">
        <v>2370000</v>
      </c>
      <c r="F53" s="25">
        <f>F54</f>
        <v>200000</v>
      </c>
      <c r="G53" s="25"/>
      <c r="H53" s="25">
        <f t="shared" si="3"/>
        <v>2170000</v>
      </c>
      <c r="I53" s="80"/>
    </row>
    <row r="54" spans="1:9" s="130" customFormat="1" ht="19.5" customHeight="1">
      <c r="A54" s="11"/>
      <c r="B54" s="13"/>
      <c r="C54" s="13">
        <v>4300</v>
      </c>
      <c r="D54" s="13" t="s">
        <v>7</v>
      </c>
      <c r="E54" s="174">
        <v>2370000</v>
      </c>
      <c r="F54" s="174">
        <v>200000</v>
      </c>
      <c r="G54" s="174"/>
      <c r="H54" s="174">
        <f t="shared" si="3"/>
        <v>2170000</v>
      </c>
      <c r="I54" s="80"/>
    </row>
    <row r="55" spans="1:9" s="90" customFormat="1" ht="19.5" customHeight="1">
      <c r="A55" s="22"/>
      <c r="B55" s="23">
        <v>90015</v>
      </c>
      <c r="C55" s="23"/>
      <c r="D55" s="73" t="s">
        <v>12</v>
      </c>
      <c r="E55" s="12">
        <v>3224170</v>
      </c>
      <c r="F55" s="12"/>
      <c r="G55" s="12">
        <f>G56</f>
        <v>500000</v>
      </c>
      <c r="H55" s="12">
        <f t="shared" si="3"/>
        <v>3724170</v>
      </c>
      <c r="I55" s="80"/>
    </row>
    <row r="56" spans="1:9" s="18" customFormat="1" ht="19.5" customHeight="1">
      <c r="A56" s="8"/>
      <c r="B56" s="60"/>
      <c r="C56" s="60"/>
      <c r="D56" s="24" t="s">
        <v>102</v>
      </c>
      <c r="E56" s="25"/>
      <c r="F56" s="25"/>
      <c r="G56" s="25">
        <f>SUM(G57:G58)</f>
        <v>500000</v>
      </c>
      <c r="H56" s="25">
        <f t="shared" si="3"/>
        <v>500000</v>
      </c>
      <c r="I56" s="80"/>
    </row>
    <row r="57" spans="1:9" s="130" customFormat="1" ht="19.5" customHeight="1">
      <c r="A57" s="11"/>
      <c r="B57" s="11"/>
      <c r="C57" s="13">
        <v>4260</v>
      </c>
      <c r="D57" s="173" t="s">
        <v>92</v>
      </c>
      <c r="E57" s="174"/>
      <c r="F57" s="174"/>
      <c r="G57" s="174">
        <v>278000</v>
      </c>
      <c r="H57" s="174">
        <f t="shared" si="3"/>
        <v>278000</v>
      </c>
      <c r="I57" s="80"/>
    </row>
    <row r="58" spans="1:9" s="130" customFormat="1" ht="19.5" customHeight="1">
      <c r="A58" s="11"/>
      <c r="B58" s="11"/>
      <c r="C58" s="13">
        <v>4300</v>
      </c>
      <c r="D58" s="13" t="s">
        <v>7</v>
      </c>
      <c r="E58" s="174"/>
      <c r="F58" s="174"/>
      <c r="G58" s="174">
        <v>222000</v>
      </c>
      <c r="H58" s="174">
        <f t="shared" si="3"/>
        <v>222000</v>
      </c>
      <c r="I58" s="80"/>
    </row>
    <row r="59" spans="1:9" s="90" customFormat="1" ht="19.5" customHeight="1">
      <c r="A59" s="22"/>
      <c r="B59" s="7">
        <v>90095</v>
      </c>
      <c r="C59" s="7"/>
      <c r="D59" s="91" t="s">
        <v>50</v>
      </c>
      <c r="E59" s="12">
        <v>4138190</v>
      </c>
      <c r="F59" s="12"/>
      <c r="G59" s="12">
        <f>G60</f>
        <v>283000</v>
      </c>
      <c r="H59" s="12">
        <f t="shared" si="3"/>
        <v>4421190</v>
      </c>
      <c r="I59" s="80"/>
    </row>
    <row r="60" spans="1:9" s="18" customFormat="1" ht="19.5" customHeight="1">
      <c r="A60" s="8"/>
      <c r="B60" s="60"/>
      <c r="C60" s="60"/>
      <c r="D60" s="61" t="s">
        <v>89</v>
      </c>
      <c r="E60" s="25">
        <v>4040000</v>
      </c>
      <c r="F60" s="25"/>
      <c r="G60" s="25">
        <f>G61</f>
        <v>283000</v>
      </c>
      <c r="H60" s="25">
        <f t="shared" si="3"/>
        <v>4323000</v>
      </c>
      <c r="I60" s="80"/>
    </row>
    <row r="61" spans="1:9" s="130" customFormat="1" ht="19.5" customHeight="1">
      <c r="A61" s="11"/>
      <c r="B61" s="11"/>
      <c r="C61" s="11"/>
      <c r="D61" s="176" t="s">
        <v>20</v>
      </c>
      <c r="E61" s="178">
        <v>1200000</v>
      </c>
      <c r="F61" s="178"/>
      <c r="G61" s="178">
        <f>313000-30000</f>
        <v>283000</v>
      </c>
      <c r="H61" s="178">
        <f t="shared" si="3"/>
        <v>1483000</v>
      </c>
      <c r="I61" s="80"/>
    </row>
    <row r="62" spans="1:9" s="130" customFormat="1" ht="19.5" customHeight="1">
      <c r="A62" s="13"/>
      <c r="B62" s="13"/>
      <c r="C62" s="13">
        <v>6050</v>
      </c>
      <c r="D62" s="13" t="s">
        <v>90</v>
      </c>
      <c r="E62" s="174">
        <v>4040000</v>
      </c>
      <c r="F62" s="174"/>
      <c r="G62" s="174">
        <f>G61</f>
        <v>283000</v>
      </c>
      <c r="H62" s="174">
        <f t="shared" si="3"/>
        <v>4323000</v>
      </c>
      <c r="I62" s="80"/>
    </row>
    <row r="63" spans="1:9" s="18" customFormat="1" ht="19.5" customHeight="1">
      <c r="A63" s="42">
        <v>921</v>
      </c>
      <c r="B63" s="5"/>
      <c r="C63" s="5"/>
      <c r="D63" s="43" t="s">
        <v>17</v>
      </c>
      <c r="E63" s="44">
        <v>13848600</v>
      </c>
      <c r="F63" s="44">
        <f>F64</f>
        <v>250000</v>
      </c>
      <c r="G63" s="44"/>
      <c r="H63" s="44">
        <f t="shared" si="3"/>
        <v>13598600</v>
      </c>
      <c r="I63" s="80"/>
    </row>
    <row r="64" spans="1:9" s="90" customFormat="1" ht="19.5" customHeight="1">
      <c r="A64" s="85"/>
      <c r="B64" s="23">
        <v>92120</v>
      </c>
      <c r="C64" s="23"/>
      <c r="D64" s="73" t="s">
        <v>18</v>
      </c>
      <c r="E64" s="72">
        <v>1847000</v>
      </c>
      <c r="F64" s="72">
        <f>F65</f>
        <v>250000</v>
      </c>
      <c r="G64" s="72"/>
      <c r="H64" s="72">
        <f t="shared" si="3"/>
        <v>1597000</v>
      </c>
      <c r="I64" s="80"/>
    </row>
    <row r="65" spans="1:9" s="18" customFormat="1" ht="19.5" customHeight="1">
      <c r="A65" s="8"/>
      <c r="B65" s="112"/>
      <c r="C65" s="112"/>
      <c r="D65" s="24" t="s">
        <v>74</v>
      </c>
      <c r="E65" s="25">
        <v>1697000</v>
      </c>
      <c r="F65" s="25">
        <f>F66</f>
        <v>250000</v>
      </c>
      <c r="G65" s="25"/>
      <c r="H65" s="25">
        <f t="shared" si="3"/>
        <v>1447000</v>
      </c>
      <c r="I65" s="113"/>
    </row>
    <row r="66" spans="1:9" s="18" customFormat="1" ht="19.5" customHeight="1">
      <c r="A66" s="8"/>
      <c r="B66" s="8"/>
      <c r="C66" s="8"/>
      <c r="D66" s="179" t="s">
        <v>93</v>
      </c>
      <c r="E66" s="180">
        <v>860000</v>
      </c>
      <c r="F66" s="180">
        <v>250000</v>
      </c>
      <c r="G66" s="180"/>
      <c r="H66" s="180">
        <f t="shared" si="3"/>
        <v>610000</v>
      </c>
      <c r="I66" s="80"/>
    </row>
    <row r="67" spans="1:9" s="130" customFormat="1" ht="19.5" customHeight="1">
      <c r="A67" s="11"/>
      <c r="B67" s="11"/>
      <c r="C67" s="11"/>
      <c r="D67" s="213" t="s">
        <v>62</v>
      </c>
      <c r="E67" s="216">
        <v>250000</v>
      </c>
      <c r="F67" s="216">
        <v>250000</v>
      </c>
      <c r="G67" s="216"/>
      <c r="H67" s="216">
        <f t="shared" si="3"/>
        <v>0</v>
      </c>
      <c r="I67" s="80"/>
    </row>
    <row r="68" spans="1:9" s="130" customFormat="1" ht="19.5" customHeight="1">
      <c r="A68" s="11"/>
      <c r="B68" s="11"/>
      <c r="C68" s="13">
        <v>4270</v>
      </c>
      <c r="D68" s="13" t="s">
        <v>94</v>
      </c>
      <c r="E68" s="174">
        <v>250000</v>
      </c>
      <c r="F68" s="174">
        <f>F67</f>
        <v>250000</v>
      </c>
      <c r="G68" s="174"/>
      <c r="H68" s="174">
        <f t="shared" si="3"/>
        <v>0</v>
      </c>
      <c r="I68" s="80"/>
    </row>
    <row r="69" spans="1:12" s="56" customFormat="1" ht="30" customHeight="1" thickBot="1">
      <c r="A69" s="8"/>
      <c r="B69" s="8"/>
      <c r="C69" s="8"/>
      <c r="D69" s="57" t="s">
        <v>63</v>
      </c>
      <c r="E69" s="58">
        <v>2974358</v>
      </c>
      <c r="F69" s="58"/>
      <c r="G69" s="58"/>
      <c r="H69" s="58">
        <f>E69+G69-F69</f>
        <v>2974358</v>
      </c>
      <c r="J69" s="81"/>
      <c r="L69" s="81"/>
    </row>
    <row r="70" spans="1:8" s="20" customFormat="1" ht="18.75" customHeight="1" thickBot="1" thickTop="1">
      <c r="A70" s="150"/>
      <c r="B70" s="45"/>
      <c r="C70" s="45"/>
      <c r="D70" s="157" t="s">
        <v>53</v>
      </c>
      <c r="E70" s="158">
        <v>54366291</v>
      </c>
      <c r="F70" s="158"/>
      <c r="G70" s="158"/>
      <c r="H70" s="158">
        <f>E70-F70+G70</f>
        <v>54366291</v>
      </c>
    </row>
    <row r="74" ht="38.25">
      <c r="E74" s="431" t="s">
        <v>168</v>
      </c>
    </row>
  </sheetData>
  <printOptions horizontalCentered="1"/>
  <pageMargins left="0.5905511811023623" right="0.5905511811023623" top="0.6692913385826772" bottom="0.5905511811023623" header="0.5118110236220472" footer="0.31496062992125984"/>
  <pageSetup firstPageNumber="4" useFirstPageNumber="1" horizontalDpi="300" verticalDpi="3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zoomScale="75" zoomScaleNormal="75" workbookViewId="0" topLeftCell="A97">
      <selection activeCell="F116" sqref="F116"/>
    </sheetView>
  </sheetViews>
  <sheetFormatPr defaultColWidth="9.00390625" defaultRowHeight="12.75"/>
  <cols>
    <col min="1" max="1" width="4.25390625" style="0" customWidth="1"/>
    <col min="2" max="2" width="7.00390625" style="0" customWidth="1"/>
    <col min="3" max="3" width="6.00390625" style="0" customWidth="1"/>
    <col min="4" max="4" width="60.75390625" style="0" customWidth="1"/>
    <col min="5" max="6" width="17.75390625" style="0" customWidth="1"/>
    <col min="7" max="7" width="18.375" style="0" customWidth="1"/>
    <col min="8" max="8" width="14.25390625" style="0" customWidth="1"/>
    <col min="9" max="9" width="10.375" style="0" bestFit="1" customWidth="1"/>
  </cols>
  <sheetData>
    <row r="1" ht="12.75">
      <c r="F1" s="17" t="s">
        <v>123</v>
      </c>
    </row>
    <row r="2" spans="6:7" ht="12.75">
      <c r="F2" s="17" t="s">
        <v>166</v>
      </c>
      <c r="G2" s="16"/>
    </row>
    <row r="3" spans="6:7" ht="12.75">
      <c r="F3" s="17" t="s">
        <v>95</v>
      </c>
      <c r="G3" s="16"/>
    </row>
    <row r="4" spans="1:7" ht="15.75">
      <c r="A4" s="14" t="s">
        <v>96</v>
      </c>
      <c r="F4" s="17" t="s">
        <v>167</v>
      </c>
      <c r="G4" s="16"/>
    </row>
    <row r="5" spans="1:4" ht="15.75">
      <c r="A5" s="14" t="s">
        <v>97</v>
      </c>
      <c r="D5" s="14"/>
    </row>
    <row r="6" ht="16.5" thickBot="1">
      <c r="A6" s="14"/>
    </row>
    <row r="7" spans="1:7" ht="18" customHeight="1" thickBot="1" thickTop="1">
      <c r="A7" s="181"/>
      <c r="B7" s="181"/>
      <c r="C7" s="59"/>
      <c r="D7" s="181" t="s">
        <v>3</v>
      </c>
      <c r="E7" s="182" t="s">
        <v>41</v>
      </c>
      <c r="F7" s="420" t="s">
        <v>52</v>
      </c>
      <c r="G7" s="421"/>
    </row>
    <row r="8" spans="1:7" ht="19.5" customHeight="1" thickBot="1" thickTop="1">
      <c r="A8" s="183" t="s">
        <v>0</v>
      </c>
      <c r="B8" s="183" t="s">
        <v>1</v>
      </c>
      <c r="C8" s="183" t="s">
        <v>2</v>
      </c>
      <c r="D8" s="184"/>
      <c r="E8" s="185" t="s">
        <v>60</v>
      </c>
      <c r="F8" s="185" t="s">
        <v>61</v>
      </c>
      <c r="G8" s="185" t="s">
        <v>60</v>
      </c>
    </row>
    <row r="9" spans="1:7" ht="14.25" thickBot="1" thickTop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</row>
    <row r="10" spans="1:9" ht="24.75" customHeight="1" thickBot="1" thickTop="1">
      <c r="A10" s="186"/>
      <c r="B10" s="186"/>
      <c r="C10" s="186"/>
      <c r="D10" s="187" t="s">
        <v>5</v>
      </c>
      <c r="E10" s="188">
        <f>E11</f>
        <v>1963000</v>
      </c>
      <c r="F10" s="188">
        <f>F11+F104</f>
        <v>3339100</v>
      </c>
      <c r="G10" s="188">
        <f>G11+G104</f>
        <v>6415100</v>
      </c>
      <c r="H10" s="2"/>
      <c r="I10" s="2"/>
    </row>
    <row r="11" spans="1:7" ht="19.5" customHeight="1">
      <c r="A11" s="189"/>
      <c r="B11" s="189"/>
      <c r="C11" s="189"/>
      <c r="D11" s="200" t="s">
        <v>98</v>
      </c>
      <c r="E11" s="191">
        <f>E12</f>
        <v>1963000</v>
      </c>
      <c r="F11" s="190">
        <f>F12+F36+F51+F69+F85</f>
        <v>3339100</v>
      </c>
      <c r="G11" s="190">
        <f>G12+G36+G51+G69+G85</f>
        <v>6385100</v>
      </c>
    </row>
    <row r="12" spans="1:7" ht="19.5" customHeight="1">
      <c r="A12" s="8"/>
      <c r="B12" s="8"/>
      <c r="C12" s="8"/>
      <c r="D12" s="196" t="s">
        <v>99</v>
      </c>
      <c r="E12" s="193">
        <f>E13+E25</f>
        <v>1963000</v>
      </c>
      <c r="F12" s="192">
        <f>F31</f>
        <v>325000</v>
      </c>
      <c r="G12" s="192"/>
    </row>
    <row r="13" spans="1:7" ht="19.5" customHeight="1" thickBot="1">
      <c r="A13" s="8"/>
      <c r="B13" s="8"/>
      <c r="C13" s="8"/>
      <c r="D13" s="194" t="s">
        <v>49</v>
      </c>
      <c r="E13" s="201">
        <f>E14+E19</f>
        <v>1663000</v>
      </c>
      <c r="F13" s="201" t="s">
        <v>100</v>
      </c>
      <c r="G13" s="34"/>
    </row>
    <row r="14" spans="1:7" s="20" customFormat="1" ht="19.5" customHeight="1" thickBot="1">
      <c r="A14" s="13"/>
      <c r="B14" s="13"/>
      <c r="C14" s="195"/>
      <c r="D14" s="202" t="s">
        <v>45</v>
      </c>
      <c r="E14" s="58">
        <f>E15</f>
        <v>900000</v>
      </c>
      <c r="F14" s="203"/>
      <c r="G14" s="203"/>
    </row>
    <row r="15" spans="1:7" ht="19.5" customHeight="1" thickTop="1">
      <c r="A15" s="41">
        <v>758</v>
      </c>
      <c r="B15" s="42"/>
      <c r="C15" s="42"/>
      <c r="D15" s="43" t="s">
        <v>8</v>
      </c>
      <c r="E15" s="44">
        <f>E16</f>
        <v>900000</v>
      </c>
      <c r="F15" s="44"/>
      <c r="G15" s="44"/>
    </row>
    <row r="16" spans="1:7" ht="27" customHeight="1">
      <c r="A16" s="46"/>
      <c r="B16" s="62">
        <v>75801</v>
      </c>
      <c r="C16" s="62"/>
      <c r="D16" s="63" t="s">
        <v>9</v>
      </c>
      <c r="E16" s="78">
        <f>E17</f>
        <v>900000</v>
      </c>
      <c r="F16" s="78"/>
      <c r="G16" s="78"/>
    </row>
    <row r="17" spans="1:7" ht="19.5" customHeight="1">
      <c r="A17" s="74"/>
      <c r="B17" s="75"/>
      <c r="C17" s="75"/>
      <c r="D17" s="151" t="s">
        <v>10</v>
      </c>
      <c r="E17" s="168">
        <f>E18</f>
        <v>900000</v>
      </c>
      <c r="F17" s="168"/>
      <c r="G17" s="168"/>
    </row>
    <row r="18" spans="1:7" ht="19.5" customHeight="1">
      <c r="A18" s="163"/>
      <c r="B18" s="164"/>
      <c r="C18" s="45">
        <v>292</v>
      </c>
      <c r="D18" s="166" t="s">
        <v>86</v>
      </c>
      <c r="E18" s="167">
        <v>900000</v>
      </c>
      <c r="F18" s="167"/>
      <c r="G18" s="167"/>
    </row>
    <row r="19" spans="1:7" s="20" customFormat="1" ht="23.25" customHeight="1" thickBot="1">
      <c r="A19" s="13"/>
      <c r="B19" s="13"/>
      <c r="C19" s="13"/>
      <c r="D19" s="57" t="s">
        <v>51</v>
      </c>
      <c r="E19" s="58">
        <f>E20</f>
        <v>763000</v>
      </c>
      <c r="F19" s="39"/>
      <c r="G19" s="39"/>
    </row>
    <row r="20" spans="1:7" ht="19.5" customHeight="1" thickTop="1">
      <c r="A20" s="41">
        <v>900</v>
      </c>
      <c r="B20" s="42"/>
      <c r="C20" s="42"/>
      <c r="D20" s="43" t="s">
        <v>11</v>
      </c>
      <c r="E20" s="44">
        <f>E21</f>
        <v>763000</v>
      </c>
      <c r="F20" s="44"/>
      <c r="G20" s="44"/>
    </row>
    <row r="21" spans="1:7" ht="19.5" customHeight="1">
      <c r="A21" s="46"/>
      <c r="B21" s="62">
        <v>90003</v>
      </c>
      <c r="C21" s="62"/>
      <c r="D21" s="63" t="s">
        <v>13</v>
      </c>
      <c r="E21" s="78">
        <f>E22</f>
        <v>763000</v>
      </c>
      <c r="F21" s="78"/>
      <c r="G21" s="78"/>
    </row>
    <row r="22" spans="1:7" ht="26.25" customHeight="1">
      <c r="A22" s="74"/>
      <c r="B22" s="75"/>
      <c r="C22" s="75"/>
      <c r="D22" s="151" t="s">
        <v>69</v>
      </c>
      <c r="E22" s="168">
        <f>E23</f>
        <v>763000</v>
      </c>
      <c r="F22" s="168"/>
      <c r="G22" s="168"/>
    </row>
    <row r="23" spans="1:7" ht="41.25" customHeight="1">
      <c r="A23" s="163"/>
      <c r="B23" s="164"/>
      <c r="C23" s="164">
        <v>661</v>
      </c>
      <c r="D23" s="368" t="s">
        <v>155</v>
      </c>
      <c r="E23" s="369">
        <v>763000</v>
      </c>
      <c r="F23" s="369"/>
      <c r="G23" s="369"/>
    </row>
    <row r="24" spans="1:7" ht="45.75" customHeight="1">
      <c r="A24" s="372"/>
      <c r="B24" s="373"/>
      <c r="C24" s="373"/>
      <c r="D24" s="374"/>
      <c r="E24" s="375"/>
      <c r="F24" s="375"/>
      <c r="G24" s="375"/>
    </row>
    <row r="25" spans="1:7" ht="19.5" customHeight="1" thickBot="1">
      <c r="A25" s="65"/>
      <c r="B25" s="8"/>
      <c r="C25" s="370"/>
      <c r="D25" s="371" t="s">
        <v>101</v>
      </c>
      <c r="E25" s="34">
        <f>E26</f>
        <v>300000</v>
      </c>
      <c r="F25" s="34"/>
      <c r="G25" s="34"/>
    </row>
    <row r="26" spans="1:7" ht="19.5" customHeight="1" thickBot="1">
      <c r="A26" s="19"/>
      <c r="B26" s="19"/>
      <c r="C26" s="19"/>
      <c r="D26" s="57" t="s">
        <v>45</v>
      </c>
      <c r="E26" s="331">
        <f>E27</f>
        <v>300000</v>
      </c>
      <c r="F26" s="39"/>
      <c r="G26" s="39"/>
    </row>
    <row r="27" spans="1:7" ht="19.5" customHeight="1" thickTop="1">
      <c r="A27" s="41">
        <v>758</v>
      </c>
      <c r="B27" s="42"/>
      <c r="C27" s="42"/>
      <c r="D27" s="43" t="s">
        <v>8</v>
      </c>
      <c r="E27" s="44">
        <f>E28</f>
        <v>300000</v>
      </c>
      <c r="F27" s="44"/>
      <c r="G27" s="44"/>
    </row>
    <row r="28" spans="1:7" ht="26.25" customHeight="1">
      <c r="A28" s="46"/>
      <c r="B28" s="62">
        <v>75801</v>
      </c>
      <c r="C28" s="62"/>
      <c r="D28" s="63" t="s">
        <v>9</v>
      </c>
      <c r="E28" s="78">
        <f>E29</f>
        <v>300000</v>
      </c>
      <c r="F28" s="78"/>
      <c r="G28" s="78"/>
    </row>
    <row r="29" spans="1:7" ht="19.5" customHeight="1">
      <c r="A29" s="74"/>
      <c r="B29" s="75"/>
      <c r="C29" s="75"/>
      <c r="D29" s="151" t="s">
        <v>10</v>
      </c>
      <c r="E29" s="168">
        <f>E30</f>
        <v>300000</v>
      </c>
      <c r="F29" s="168"/>
      <c r="G29" s="168"/>
    </row>
    <row r="30" spans="1:7" ht="19.5" customHeight="1">
      <c r="A30" s="163"/>
      <c r="B30" s="164"/>
      <c r="C30" s="45">
        <v>292</v>
      </c>
      <c r="D30" s="166" t="s">
        <v>86</v>
      </c>
      <c r="E30" s="167">
        <v>300000</v>
      </c>
      <c r="F30" s="167"/>
      <c r="G30" s="167"/>
    </row>
    <row r="31" spans="1:7" ht="19.5" customHeight="1" thickBot="1">
      <c r="A31" s="19"/>
      <c r="B31" s="19"/>
      <c r="C31" s="19"/>
      <c r="D31" s="57" t="s">
        <v>6</v>
      </c>
      <c r="E31" s="331"/>
      <c r="F31" s="58">
        <f>F32</f>
        <v>325000</v>
      </c>
      <c r="G31" s="39"/>
    </row>
    <row r="32" spans="1:7" ht="19.5" customHeight="1" thickTop="1">
      <c r="A32" s="5">
        <v>758</v>
      </c>
      <c r="B32" s="5"/>
      <c r="C32" s="5"/>
      <c r="D32" s="5" t="s">
        <v>8</v>
      </c>
      <c r="E32" s="44"/>
      <c r="F32" s="6">
        <f>F33</f>
        <v>325000</v>
      </c>
      <c r="G32" s="44"/>
    </row>
    <row r="33" spans="1:7" ht="19.5" customHeight="1">
      <c r="A33" s="8"/>
      <c r="B33" s="7">
        <v>75818</v>
      </c>
      <c r="C33" s="7"/>
      <c r="D33" s="7" t="s">
        <v>105</v>
      </c>
      <c r="E33" s="78"/>
      <c r="F33" s="68">
        <f>F34</f>
        <v>325000</v>
      </c>
      <c r="G33" s="78"/>
    </row>
    <row r="34" spans="1:7" ht="19.5" customHeight="1">
      <c r="A34" s="8"/>
      <c r="B34" s="60"/>
      <c r="C34" s="60"/>
      <c r="D34" s="77" t="s">
        <v>106</v>
      </c>
      <c r="E34" s="168"/>
      <c r="F34" s="66">
        <f>F35</f>
        <v>325000</v>
      </c>
      <c r="G34" s="168"/>
    </row>
    <row r="35" spans="1:7" ht="19.5" customHeight="1">
      <c r="A35" s="11"/>
      <c r="B35" s="11"/>
      <c r="C35" s="13">
        <v>4810</v>
      </c>
      <c r="D35" s="13" t="s">
        <v>107</v>
      </c>
      <c r="E35" s="167"/>
      <c r="F35" s="10">
        <v>325000</v>
      </c>
      <c r="G35" s="167"/>
    </row>
    <row r="36" spans="1:7" ht="19.5" customHeight="1">
      <c r="A36" s="8"/>
      <c r="B36" s="8"/>
      <c r="C36" s="60"/>
      <c r="D36" s="196" t="s">
        <v>104</v>
      </c>
      <c r="E36" s="204"/>
      <c r="F36" s="215">
        <f>F37</f>
        <v>500000</v>
      </c>
      <c r="G36" s="215">
        <f>G37</f>
        <v>500000</v>
      </c>
    </row>
    <row r="37" spans="1:7" ht="19.5" customHeight="1" thickBot="1">
      <c r="A37" s="19"/>
      <c r="B37" s="19"/>
      <c r="C37" s="19"/>
      <c r="D37" s="321" t="s">
        <v>6</v>
      </c>
      <c r="E37" s="391"/>
      <c r="F37" s="338">
        <f>F38</f>
        <v>500000</v>
      </c>
      <c r="G37" s="338">
        <f>G38</f>
        <v>500000</v>
      </c>
    </row>
    <row r="38" spans="1:7" ht="19.5" customHeight="1" thickTop="1">
      <c r="A38" s="42">
        <v>900</v>
      </c>
      <c r="B38" s="5"/>
      <c r="C38" s="5"/>
      <c r="D38" s="43" t="s">
        <v>11</v>
      </c>
      <c r="E38" s="44"/>
      <c r="F38" s="44">
        <f>F39+F44+F47</f>
        <v>500000</v>
      </c>
      <c r="G38" s="44">
        <f>G39+G44+G47</f>
        <v>500000</v>
      </c>
    </row>
    <row r="39" spans="1:7" ht="19.5" customHeight="1">
      <c r="A39" s="85"/>
      <c r="B39" s="23">
        <v>90003</v>
      </c>
      <c r="C39" s="23"/>
      <c r="D39" s="73" t="s">
        <v>13</v>
      </c>
      <c r="E39" s="72"/>
      <c r="F39" s="72">
        <f>F40+F42</f>
        <v>300000</v>
      </c>
      <c r="G39" s="72"/>
    </row>
    <row r="40" spans="1:7" ht="18.75" customHeight="1">
      <c r="A40" s="8"/>
      <c r="B40" s="60"/>
      <c r="C40" s="60"/>
      <c r="D40" s="24" t="s">
        <v>14</v>
      </c>
      <c r="E40" s="25"/>
      <c r="F40" s="25">
        <f>F41</f>
        <v>200000</v>
      </c>
      <c r="G40" s="25"/>
    </row>
    <row r="41" spans="1:7" ht="18.75" customHeight="1">
      <c r="A41" s="11"/>
      <c r="B41" s="11"/>
      <c r="C41" s="13">
        <v>4300</v>
      </c>
      <c r="D41" s="173" t="s">
        <v>7</v>
      </c>
      <c r="E41" s="174"/>
      <c r="F41" s="174">
        <v>200000</v>
      </c>
      <c r="G41" s="174"/>
    </row>
    <row r="42" spans="1:7" ht="18.75" customHeight="1">
      <c r="A42" s="8"/>
      <c r="B42" s="8"/>
      <c r="C42" s="8"/>
      <c r="D42" s="77" t="s">
        <v>15</v>
      </c>
      <c r="E42" s="66"/>
      <c r="F42" s="66">
        <f>F43</f>
        <v>100000</v>
      </c>
      <c r="G42" s="66"/>
    </row>
    <row r="43" spans="1:7" ht="18.75" customHeight="1">
      <c r="A43" s="11"/>
      <c r="B43" s="13"/>
      <c r="C43" s="13">
        <v>4300</v>
      </c>
      <c r="D43" s="13" t="s">
        <v>7</v>
      </c>
      <c r="E43" s="10"/>
      <c r="F43" s="10">
        <v>100000</v>
      </c>
      <c r="G43" s="10"/>
    </row>
    <row r="44" spans="1:7" ht="19.5" customHeight="1">
      <c r="A44" s="22"/>
      <c r="B44" s="23">
        <v>90004</v>
      </c>
      <c r="C44" s="23"/>
      <c r="D44" s="73" t="s">
        <v>16</v>
      </c>
      <c r="E44" s="72"/>
      <c r="F44" s="72">
        <f>F45</f>
        <v>200000</v>
      </c>
      <c r="G44" s="72"/>
    </row>
    <row r="45" spans="1:7" ht="19.5" customHeight="1">
      <c r="A45" s="8"/>
      <c r="B45" s="60"/>
      <c r="C45" s="60"/>
      <c r="D45" s="24" t="s">
        <v>70</v>
      </c>
      <c r="E45" s="25"/>
      <c r="F45" s="25">
        <f>F46</f>
        <v>200000</v>
      </c>
      <c r="G45" s="25"/>
    </row>
    <row r="46" spans="1:7" ht="19.5" customHeight="1">
      <c r="A46" s="11"/>
      <c r="B46" s="13"/>
      <c r="C46" s="13">
        <v>4300</v>
      </c>
      <c r="D46" s="13" t="s">
        <v>7</v>
      </c>
      <c r="E46" s="10"/>
      <c r="F46" s="10">
        <v>200000</v>
      </c>
      <c r="G46" s="10"/>
    </row>
    <row r="47" spans="1:7" ht="19.5" customHeight="1">
      <c r="A47" s="22"/>
      <c r="B47" s="23">
        <v>90015</v>
      </c>
      <c r="C47" s="23"/>
      <c r="D47" s="73" t="s">
        <v>12</v>
      </c>
      <c r="E47" s="72"/>
      <c r="F47" s="72"/>
      <c r="G47" s="72">
        <f>G48</f>
        <v>500000</v>
      </c>
    </row>
    <row r="48" spans="1:7" ht="19.5" customHeight="1">
      <c r="A48" s="8"/>
      <c r="B48" s="60"/>
      <c r="C48" s="60"/>
      <c r="D48" s="24" t="s">
        <v>102</v>
      </c>
      <c r="E48" s="25"/>
      <c r="F48" s="25"/>
      <c r="G48" s="25">
        <f>SUM(G49:G50)</f>
        <v>500000</v>
      </c>
    </row>
    <row r="49" spans="1:7" ht="19.5" customHeight="1">
      <c r="A49" s="13"/>
      <c r="B49" s="13"/>
      <c r="C49" s="13">
        <v>4260</v>
      </c>
      <c r="D49" s="173" t="s">
        <v>92</v>
      </c>
      <c r="E49" s="174"/>
      <c r="F49" s="174"/>
      <c r="G49" s="174">
        <v>278000</v>
      </c>
    </row>
    <row r="50" spans="1:7" ht="19.5" customHeight="1">
      <c r="A50" s="11"/>
      <c r="B50" s="11"/>
      <c r="C50" s="13">
        <v>4300</v>
      </c>
      <c r="D50" s="13" t="s">
        <v>7</v>
      </c>
      <c r="E50" s="174"/>
      <c r="F50" s="174"/>
      <c r="G50" s="174">
        <v>222000</v>
      </c>
    </row>
    <row r="51" spans="1:7" ht="19.5" customHeight="1">
      <c r="A51" s="8"/>
      <c r="B51" s="8"/>
      <c r="C51" s="60"/>
      <c r="D51" s="196" t="s">
        <v>103</v>
      </c>
      <c r="E51" s="204"/>
      <c r="F51" s="204"/>
      <c r="G51" s="204">
        <f>G52</f>
        <v>5263000</v>
      </c>
    </row>
    <row r="52" spans="1:7" ht="19.5" customHeight="1" thickBot="1">
      <c r="A52" s="19"/>
      <c r="B52" s="19"/>
      <c r="C52" s="19"/>
      <c r="D52" s="321" t="s">
        <v>6</v>
      </c>
      <c r="E52" s="391"/>
      <c r="F52" s="391"/>
      <c r="G52" s="338">
        <f>G53</f>
        <v>5263000</v>
      </c>
    </row>
    <row r="53" spans="1:7" ht="19.5" customHeight="1" thickTop="1">
      <c r="A53" s="5">
        <v>801</v>
      </c>
      <c r="B53" s="5"/>
      <c r="C53" s="5"/>
      <c r="D53" s="5" t="s">
        <v>55</v>
      </c>
      <c r="E53" s="6"/>
      <c r="F53" s="6"/>
      <c r="G53" s="6">
        <f>G54+G60+G66</f>
        <v>5263000</v>
      </c>
    </row>
    <row r="54" spans="1:7" ht="19.5" customHeight="1">
      <c r="A54" s="8"/>
      <c r="B54" s="7">
        <v>80101</v>
      </c>
      <c r="C54" s="7"/>
      <c r="D54" s="7" t="s">
        <v>32</v>
      </c>
      <c r="E54" s="68"/>
      <c r="F54" s="68"/>
      <c r="G54" s="68">
        <f>G57+G55</f>
        <v>3186000</v>
      </c>
    </row>
    <row r="55" spans="1:7" ht="19.5" customHeight="1">
      <c r="A55" s="8"/>
      <c r="B55" s="60"/>
      <c r="C55" s="60"/>
      <c r="D55" s="77" t="s">
        <v>59</v>
      </c>
      <c r="E55" s="66"/>
      <c r="F55" s="66"/>
      <c r="G55" s="66">
        <f>G56</f>
        <v>686000</v>
      </c>
    </row>
    <row r="56" spans="1:7" ht="19.5" customHeight="1">
      <c r="A56" s="11"/>
      <c r="B56" s="11"/>
      <c r="C56" s="13">
        <v>4270</v>
      </c>
      <c r="D56" s="13" t="s">
        <v>88</v>
      </c>
      <c r="E56" s="10"/>
      <c r="F56" s="10"/>
      <c r="G56" s="10">
        <v>686000</v>
      </c>
    </row>
    <row r="57" spans="1:7" ht="19.5" customHeight="1">
      <c r="A57" s="8"/>
      <c r="B57" s="8"/>
      <c r="C57" s="8"/>
      <c r="D57" s="77" t="s">
        <v>89</v>
      </c>
      <c r="E57" s="66"/>
      <c r="F57" s="66"/>
      <c r="G57" s="66">
        <f>G58</f>
        <v>2500000</v>
      </c>
    </row>
    <row r="58" spans="1:7" ht="19.5" customHeight="1">
      <c r="A58" s="11"/>
      <c r="B58" s="11"/>
      <c r="C58" s="11"/>
      <c r="D58" s="176" t="s">
        <v>84</v>
      </c>
      <c r="E58" s="178"/>
      <c r="F58" s="178"/>
      <c r="G58" s="178">
        <f>G59</f>
        <v>2500000</v>
      </c>
    </row>
    <row r="59" spans="1:7" ht="19.5" customHeight="1">
      <c r="A59" s="11"/>
      <c r="B59" s="13"/>
      <c r="C59" s="13">
        <v>6050</v>
      </c>
      <c r="D59" s="13" t="s">
        <v>90</v>
      </c>
      <c r="E59" s="10"/>
      <c r="F59" s="10"/>
      <c r="G59" s="10">
        <v>2500000</v>
      </c>
    </row>
    <row r="60" spans="1:7" ht="19.5" customHeight="1">
      <c r="A60" s="22"/>
      <c r="B60" s="54">
        <v>80110</v>
      </c>
      <c r="C60" s="54"/>
      <c r="D60" s="54" t="s">
        <v>33</v>
      </c>
      <c r="E60" s="76"/>
      <c r="F60" s="76"/>
      <c r="G60" s="76">
        <f>G63+G61</f>
        <v>1777000</v>
      </c>
    </row>
    <row r="61" spans="1:7" ht="19.5" customHeight="1">
      <c r="A61" s="8"/>
      <c r="B61" s="60"/>
      <c r="C61" s="60"/>
      <c r="D61" s="77" t="s">
        <v>59</v>
      </c>
      <c r="E61" s="66"/>
      <c r="F61" s="66"/>
      <c r="G61" s="66">
        <f>G62</f>
        <v>214000</v>
      </c>
    </row>
    <row r="62" spans="1:7" ht="19.5" customHeight="1">
      <c r="A62" s="11"/>
      <c r="B62" s="11"/>
      <c r="C62" s="13">
        <v>4270</v>
      </c>
      <c r="D62" s="13" t="s">
        <v>88</v>
      </c>
      <c r="E62" s="10"/>
      <c r="F62" s="10"/>
      <c r="G62" s="10">
        <v>214000</v>
      </c>
    </row>
    <row r="63" spans="1:7" ht="19.5" customHeight="1">
      <c r="A63" s="8"/>
      <c r="B63" s="8"/>
      <c r="C63" s="8"/>
      <c r="D63" s="77" t="s">
        <v>91</v>
      </c>
      <c r="E63" s="66"/>
      <c r="F63" s="66"/>
      <c r="G63" s="66">
        <f>G64</f>
        <v>1563000</v>
      </c>
    </row>
    <row r="64" spans="1:7" ht="19.5" customHeight="1">
      <c r="A64" s="11"/>
      <c r="B64" s="11"/>
      <c r="C64" s="11"/>
      <c r="D64" s="176" t="s">
        <v>84</v>
      </c>
      <c r="E64" s="178"/>
      <c r="F64" s="178"/>
      <c r="G64" s="178">
        <f>G65</f>
        <v>1563000</v>
      </c>
    </row>
    <row r="65" spans="1:7" ht="19.5" customHeight="1">
      <c r="A65" s="11"/>
      <c r="B65" s="13"/>
      <c r="C65" s="13">
        <v>6050</v>
      </c>
      <c r="D65" s="13" t="s">
        <v>90</v>
      </c>
      <c r="E65" s="10"/>
      <c r="F65" s="10"/>
      <c r="G65" s="10">
        <v>1563000</v>
      </c>
    </row>
    <row r="66" spans="1:7" ht="19.5" customHeight="1">
      <c r="A66" s="22"/>
      <c r="B66" s="54">
        <v>80120</v>
      </c>
      <c r="C66" s="54"/>
      <c r="D66" s="54" t="s">
        <v>34</v>
      </c>
      <c r="E66" s="76"/>
      <c r="F66" s="76"/>
      <c r="G66" s="76">
        <f>G67</f>
        <v>300000</v>
      </c>
    </row>
    <row r="67" spans="1:7" ht="19.5" customHeight="1">
      <c r="A67" s="8"/>
      <c r="B67" s="60"/>
      <c r="C67" s="60"/>
      <c r="D67" s="77" t="s">
        <v>59</v>
      </c>
      <c r="E67" s="66"/>
      <c r="F67" s="66"/>
      <c r="G67" s="66">
        <f>G68</f>
        <v>300000</v>
      </c>
    </row>
    <row r="68" spans="1:7" ht="19.5" customHeight="1">
      <c r="A68" s="8"/>
      <c r="B68" s="8"/>
      <c r="C68" s="13">
        <v>4270</v>
      </c>
      <c r="D68" s="13" t="s">
        <v>88</v>
      </c>
      <c r="E68" s="10"/>
      <c r="F68" s="10"/>
      <c r="G68" s="10">
        <v>300000</v>
      </c>
    </row>
    <row r="69" spans="1:7" ht="19.5" customHeight="1">
      <c r="A69" s="8"/>
      <c r="B69" s="8"/>
      <c r="C69" s="60"/>
      <c r="D69" s="197" t="s">
        <v>153</v>
      </c>
      <c r="E69" s="206"/>
      <c r="F69" s="205">
        <f>F70</f>
        <v>14100</v>
      </c>
      <c r="G69" s="205">
        <f>G70</f>
        <v>339100</v>
      </c>
    </row>
    <row r="70" spans="1:7" ht="19.5" customHeight="1" thickBot="1">
      <c r="A70" s="19"/>
      <c r="B70" s="19"/>
      <c r="C70" s="19"/>
      <c r="D70" s="4" t="s">
        <v>6</v>
      </c>
      <c r="E70" s="338"/>
      <c r="F70" s="338">
        <f>F71</f>
        <v>14100</v>
      </c>
      <c r="G70" s="338">
        <f>G71</f>
        <v>339100</v>
      </c>
    </row>
    <row r="71" spans="1:7" ht="19.5" customHeight="1" thickTop="1">
      <c r="A71" s="42">
        <v>851</v>
      </c>
      <c r="B71" s="5"/>
      <c r="C71" s="5"/>
      <c r="D71" s="43" t="s">
        <v>108</v>
      </c>
      <c r="E71" s="44"/>
      <c r="F71" s="44">
        <f>F72+F75</f>
        <v>14100</v>
      </c>
      <c r="G71" s="44">
        <f>G72+G75</f>
        <v>339100</v>
      </c>
    </row>
    <row r="72" spans="1:7" ht="19.5" customHeight="1">
      <c r="A72" s="85"/>
      <c r="B72" s="220">
        <v>85121</v>
      </c>
      <c r="C72" s="220"/>
      <c r="D72" s="91" t="s">
        <v>109</v>
      </c>
      <c r="E72" s="12"/>
      <c r="F72" s="12"/>
      <c r="G72" s="12">
        <f>G73</f>
        <v>325000</v>
      </c>
    </row>
    <row r="73" spans="1:7" ht="19.5" customHeight="1">
      <c r="A73" s="8"/>
      <c r="B73" s="8"/>
      <c r="C73" s="8"/>
      <c r="D73" s="24" t="s">
        <v>110</v>
      </c>
      <c r="E73" s="25"/>
      <c r="F73" s="25"/>
      <c r="G73" s="25">
        <f>G74</f>
        <v>325000</v>
      </c>
    </row>
    <row r="74" spans="1:7" ht="19.5" customHeight="1">
      <c r="A74" s="13"/>
      <c r="B74" s="13"/>
      <c r="C74" s="13">
        <v>4280</v>
      </c>
      <c r="D74" s="173" t="s">
        <v>111</v>
      </c>
      <c r="E74" s="174"/>
      <c r="F74" s="174"/>
      <c r="G74" s="174">
        <v>325000</v>
      </c>
    </row>
    <row r="75" spans="1:7" ht="19.5" customHeight="1">
      <c r="A75" s="22"/>
      <c r="B75" s="23">
        <v>85154</v>
      </c>
      <c r="C75" s="23"/>
      <c r="D75" s="73" t="s">
        <v>112</v>
      </c>
      <c r="E75" s="72"/>
      <c r="F75" s="72">
        <f>F76</f>
        <v>14100</v>
      </c>
      <c r="G75" s="72">
        <f>G76</f>
        <v>14100</v>
      </c>
    </row>
    <row r="76" spans="1:7" ht="25.5" customHeight="1">
      <c r="A76" s="11"/>
      <c r="B76" s="11"/>
      <c r="C76" s="60"/>
      <c r="D76" s="223" t="s">
        <v>113</v>
      </c>
      <c r="E76" s="225"/>
      <c r="F76" s="225">
        <f>F77</f>
        <v>14100</v>
      </c>
      <c r="G76" s="225">
        <f>G77</f>
        <v>14100</v>
      </c>
    </row>
    <row r="77" spans="1:7" ht="26.25" customHeight="1">
      <c r="A77" s="11"/>
      <c r="B77" s="11"/>
      <c r="C77" s="8"/>
      <c r="D77" s="224" t="s">
        <v>114</v>
      </c>
      <c r="E77" s="226"/>
      <c r="F77" s="226">
        <f>F79+F83+F84</f>
        <v>14100</v>
      </c>
      <c r="G77" s="226">
        <f>G79+G83+G84</f>
        <v>14100</v>
      </c>
    </row>
    <row r="78" spans="1:7" ht="19.5" customHeight="1">
      <c r="A78" s="11"/>
      <c r="B78" s="11"/>
      <c r="C78" s="8"/>
      <c r="D78" s="358" t="s">
        <v>150</v>
      </c>
      <c r="E78" s="362"/>
      <c r="F78" s="178">
        <v>1000</v>
      </c>
      <c r="G78" s="178"/>
    </row>
    <row r="79" spans="1:7" ht="26.25" customHeight="1">
      <c r="A79" s="11"/>
      <c r="B79" s="11"/>
      <c r="C79" s="173">
        <v>2810</v>
      </c>
      <c r="D79" s="173" t="s">
        <v>115</v>
      </c>
      <c r="E79" s="174"/>
      <c r="F79" s="174">
        <f>F78</f>
        <v>1000</v>
      </c>
      <c r="G79" s="174"/>
    </row>
    <row r="80" spans="1:7" ht="26.25" customHeight="1">
      <c r="A80" s="11"/>
      <c r="B80" s="11"/>
      <c r="C80" s="169"/>
      <c r="D80" s="364" t="s">
        <v>151</v>
      </c>
      <c r="E80" s="357"/>
      <c r="F80" s="357">
        <v>8000</v>
      </c>
      <c r="G80" s="357"/>
    </row>
    <row r="81" spans="1:7" ht="26.25" customHeight="1">
      <c r="A81" s="11"/>
      <c r="B81" s="11"/>
      <c r="C81" s="356"/>
      <c r="D81" s="363" t="s">
        <v>152</v>
      </c>
      <c r="E81" s="216"/>
      <c r="F81" s="216">
        <v>5000</v>
      </c>
      <c r="G81" s="216"/>
    </row>
    <row r="82" spans="1:7" ht="19.5" customHeight="1">
      <c r="A82" s="11"/>
      <c r="B82" s="11"/>
      <c r="C82" s="356"/>
      <c r="D82" s="358" t="s">
        <v>147</v>
      </c>
      <c r="E82" s="359"/>
      <c r="F82" s="359">
        <v>100</v>
      </c>
      <c r="G82" s="359"/>
    </row>
    <row r="83" spans="1:7" ht="28.5" customHeight="1">
      <c r="A83" s="11"/>
      <c r="B83" s="11"/>
      <c r="C83" s="173">
        <v>2820</v>
      </c>
      <c r="D83" s="173" t="s">
        <v>116</v>
      </c>
      <c r="E83" s="174"/>
      <c r="F83" s="174">
        <f>SUM(F80:F82)</f>
        <v>13100</v>
      </c>
      <c r="G83" s="174"/>
    </row>
    <row r="84" spans="1:7" ht="19.5" customHeight="1">
      <c r="A84" s="11"/>
      <c r="B84" s="11"/>
      <c r="C84" s="13">
        <v>4300</v>
      </c>
      <c r="D84" s="173" t="s">
        <v>7</v>
      </c>
      <c r="E84" s="174"/>
      <c r="F84" s="174"/>
      <c r="G84" s="174">
        <v>14100</v>
      </c>
    </row>
    <row r="85" spans="1:7" ht="19.5" customHeight="1">
      <c r="A85" s="8"/>
      <c r="B85" s="8"/>
      <c r="C85" s="60"/>
      <c r="D85" s="197" t="s">
        <v>154</v>
      </c>
      <c r="E85" s="206"/>
      <c r="F85" s="206">
        <f>F86</f>
        <v>2500000</v>
      </c>
      <c r="G85" s="206">
        <f>G86</f>
        <v>283000</v>
      </c>
    </row>
    <row r="86" spans="1:7" ht="19.5" customHeight="1" thickBot="1">
      <c r="A86" s="19"/>
      <c r="B86" s="19"/>
      <c r="C86" s="19"/>
      <c r="D86" s="4" t="s">
        <v>6</v>
      </c>
      <c r="E86" s="338"/>
      <c r="F86" s="338">
        <f>F87+F92+F98</f>
        <v>2500000</v>
      </c>
      <c r="G86" s="338">
        <f>G87+G92+G98</f>
        <v>283000</v>
      </c>
    </row>
    <row r="87" spans="1:7" ht="19.5" customHeight="1" thickTop="1">
      <c r="A87" s="5">
        <v>801</v>
      </c>
      <c r="B87" s="5"/>
      <c r="C87" s="5"/>
      <c r="D87" s="5" t="s">
        <v>55</v>
      </c>
      <c r="E87" s="207"/>
      <c r="F87" s="207">
        <f>F88</f>
        <v>2250000</v>
      </c>
      <c r="G87" s="207"/>
    </row>
    <row r="88" spans="1:7" ht="19.5" customHeight="1">
      <c r="A88" s="22"/>
      <c r="B88" s="54">
        <v>80130</v>
      </c>
      <c r="C88" s="54"/>
      <c r="D88" s="54" t="s">
        <v>35</v>
      </c>
      <c r="E88" s="208"/>
      <c r="F88" s="208">
        <f>F89</f>
        <v>2250000</v>
      </c>
      <c r="G88" s="208"/>
    </row>
    <row r="89" spans="1:7" ht="19.5" customHeight="1">
      <c r="A89" s="8"/>
      <c r="B89" s="8"/>
      <c r="C89" s="8"/>
      <c r="D89" s="60" t="s">
        <v>89</v>
      </c>
      <c r="E89" s="209"/>
      <c r="F89" s="209">
        <f>F90</f>
        <v>2250000</v>
      </c>
      <c r="G89" s="209"/>
    </row>
    <row r="90" spans="1:7" ht="19.5" customHeight="1">
      <c r="A90" s="11"/>
      <c r="B90" s="11"/>
      <c r="C90" s="11"/>
      <c r="D90" s="176" t="s">
        <v>19</v>
      </c>
      <c r="E90" s="210"/>
      <c r="F90" s="210">
        <f>F91</f>
        <v>2250000</v>
      </c>
      <c r="G90" s="210"/>
    </row>
    <row r="91" spans="1:7" ht="19.5" customHeight="1">
      <c r="A91" s="13"/>
      <c r="B91" s="13"/>
      <c r="C91" s="13">
        <v>6050</v>
      </c>
      <c r="D91" s="13" t="s">
        <v>90</v>
      </c>
      <c r="E91" s="211"/>
      <c r="F91" s="211">
        <v>2250000</v>
      </c>
      <c r="G91" s="211"/>
    </row>
    <row r="92" spans="1:7" ht="19.5" customHeight="1">
      <c r="A92" s="42">
        <v>900</v>
      </c>
      <c r="B92" s="5"/>
      <c r="C92" s="5"/>
      <c r="D92" s="43" t="s">
        <v>11</v>
      </c>
      <c r="E92" s="83"/>
      <c r="F92" s="83"/>
      <c r="G92" s="83">
        <f>G93</f>
        <v>283000</v>
      </c>
    </row>
    <row r="93" spans="1:7" ht="19.5" customHeight="1">
      <c r="A93" s="22"/>
      <c r="B93" s="7">
        <v>90095</v>
      </c>
      <c r="C93" s="7"/>
      <c r="D93" s="91" t="s">
        <v>50</v>
      </c>
      <c r="E93" s="141"/>
      <c r="F93" s="141"/>
      <c r="G93" s="141">
        <f>G94</f>
        <v>283000</v>
      </c>
    </row>
    <row r="94" spans="1:7" ht="19.5" customHeight="1">
      <c r="A94" s="8"/>
      <c r="B94" s="60"/>
      <c r="C94" s="60"/>
      <c r="D94" s="61" t="s">
        <v>89</v>
      </c>
      <c r="E94" s="212"/>
      <c r="F94" s="212"/>
      <c r="G94" s="212">
        <f>G95</f>
        <v>283000</v>
      </c>
    </row>
    <row r="95" spans="1:7" ht="19.5" customHeight="1">
      <c r="A95" s="11"/>
      <c r="B95" s="11"/>
      <c r="C95" s="11"/>
      <c r="D95" s="176" t="s">
        <v>20</v>
      </c>
      <c r="E95" s="210"/>
      <c r="F95" s="210"/>
      <c r="G95" s="210">
        <f>G96</f>
        <v>283000</v>
      </c>
    </row>
    <row r="96" spans="1:7" ht="19.5" customHeight="1">
      <c r="A96" s="13"/>
      <c r="B96" s="13"/>
      <c r="C96" s="13">
        <v>6050</v>
      </c>
      <c r="D96" s="13" t="s">
        <v>90</v>
      </c>
      <c r="E96" s="211"/>
      <c r="F96" s="211"/>
      <c r="G96" s="211">
        <f>313000-30000</f>
        <v>283000</v>
      </c>
    </row>
    <row r="97" spans="1:7" ht="19.5" customHeight="1">
      <c r="A97" s="198"/>
      <c r="B97" s="198"/>
      <c r="C97" s="198"/>
      <c r="D97" s="198"/>
      <c r="E97" s="376"/>
      <c r="F97" s="376"/>
      <c r="G97" s="376"/>
    </row>
    <row r="98" spans="1:7" ht="19.5" customHeight="1">
      <c r="A98" s="42">
        <v>921</v>
      </c>
      <c r="B98" s="5"/>
      <c r="C98" s="5"/>
      <c r="D98" s="43" t="s">
        <v>17</v>
      </c>
      <c r="E98" s="83"/>
      <c r="F98" s="83">
        <f>F99</f>
        <v>250000</v>
      </c>
      <c r="G98" s="83"/>
    </row>
    <row r="99" spans="1:7" ht="19.5" customHeight="1">
      <c r="A99" s="85"/>
      <c r="B99" s="23">
        <v>92120</v>
      </c>
      <c r="C99" s="23"/>
      <c r="D99" s="73" t="s">
        <v>18</v>
      </c>
      <c r="E99" s="89"/>
      <c r="F99" s="89">
        <f>F100</f>
        <v>250000</v>
      </c>
      <c r="G99" s="89"/>
    </row>
    <row r="100" spans="1:7" ht="19.5" customHeight="1">
      <c r="A100" s="8"/>
      <c r="B100" s="112"/>
      <c r="C100" s="112"/>
      <c r="D100" s="227" t="s">
        <v>74</v>
      </c>
      <c r="E100" s="228"/>
      <c r="F100" s="228">
        <f>F101</f>
        <v>250000</v>
      </c>
      <c r="G100" s="228"/>
    </row>
    <row r="101" spans="1:7" ht="19.5" customHeight="1">
      <c r="A101" s="8"/>
      <c r="B101" s="8"/>
      <c r="C101" s="8"/>
      <c r="D101" s="217" t="s">
        <v>93</v>
      </c>
      <c r="E101" s="165"/>
      <c r="F101" s="165">
        <f>F102</f>
        <v>250000</v>
      </c>
      <c r="G101" s="165"/>
    </row>
    <row r="102" spans="1:7" ht="19.5" customHeight="1">
      <c r="A102" s="11"/>
      <c r="B102" s="11"/>
      <c r="C102" s="11"/>
      <c r="D102" s="213" t="s">
        <v>62</v>
      </c>
      <c r="E102" s="214"/>
      <c r="F102" s="214">
        <f>F103</f>
        <v>250000</v>
      </c>
      <c r="G102" s="214"/>
    </row>
    <row r="103" spans="1:7" ht="19.5" customHeight="1">
      <c r="A103" s="11"/>
      <c r="B103" s="11"/>
      <c r="C103" s="13">
        <v>4270</v>
      </c>
      <c r="D103" s="13" t="s">
        <v>94</v>
      </c>
      <c r="E103" s="211"/>
      <c r="F103" s="211">
        <v>250000</v>
      </c>
      <c r="G103" s="211"/>
    </row>
    <row r="104" spans="1:7" ht="19.5" customHeight="1">
      <c r="A104" s="8"/>
      <c r="B104" s="8"/>
      <c r="C104" s="60"/>
      <c r="D104" s="197" t="s">
        <v>145</v>
      </c>
      <c r="E104" s="206"/>
      <c r="F104" s="206"/>
      <c r="G104" s="206">
        <f>G105</f>
        <v>30000</v>
      </c>
    </row>
    <row r="105" spans="1:7" ht="19.5" customHeight="1" thickBot="1">
      <c r="A105" s="19"/>
      <c r="B105" s="19"/>
      <c r="C105" s="19"/>
      <c r="D105" s="4" t="s">
        <v>6</v>
      </c>
      <c r="E105" s="338"/>
      <c r="F105" s="338"/>
      <c r="G105" s="338">
        <f>G106</f>
        <v>30000</v>
      </c>
    </row>
    <row r="106" spans="1:7" ht="19.5" customHeight="1" thickTop="1">
      <c r="A106" s="5">
        <v>801</v>
      </c>
      <c r="B106" s="5"/>
      <c r="C106" s="5"/>
      <c r="D106" s="5" t="s">
        <v>55</v>
      </c>
      <c r="E106" s="207"/>
      <c r="F106" s="207"/>
      <c r="G106" s="207">
        <f>G107</f>
        <v>30000</v>
      </c>
    </row>
    <row r="107" spans="1:7" ht="19.5" customHeight="1">
      <c r="A107" s="22"/>
      <c r="B107" s="54">
        <v>80101</v>
      </c>
      <c r="C107" s="54"/>
      <c r="D107" s="54" t="s">
        <v>32</v>
      </c>
      <c r="E107" s="208"/>
      <c r="F107" s="208"/>
      <c r="G107" s="208">
        <f>G108+G111</f>
        <v>30000</v>
      </c>
    </row>
    <row r="108" spans="1:7" ht="19.5" customHeight="1">
      <c r="A108" s="22"/>
      <c r="B108" s="22"/>
      <c r="C108" s="22"/>
      <c r="D108" s="378" t="s">
        <v>148</v>
      </c>
      <c r="E108" s="361"/>
      <c r="F108" s="361"/>
      <c r="G108" s="377">
        <f>G109</f>
        <v>15000</v>
      </c>
    </row>
    <row r="109" spans="1:7" ht="19.5" customHeight="1">
      <c r="A109" s="8"/>
      <c r="B109" s="8"/>
      <c r="C109" s="8"/>
      <c r="D109" s="8" t="s">
        <v>59</v>
      </c>
      <c r="E109" s="360"/>
      <c r="F109" s="360"/>
      <c r="G109" s="360">
        <f>G110</f>
        <v>15000</v>
      </c>
    </row>
    <row r="110" spans="1:7" ht="19.5" customHeight="1">
      <c r="A110" s="11"/>
      <c r="B110" s="11"/>
      <c r="C110" s="13">
        <v>4270</v>
      </c>
      <c r="D110" s="221" t="s">
        <v>88</v>
      </c>
      <c r="E110" s="222"/>
      <c r="F110" s="222"/>
      <c r="G110" s="222">
        <v>15000</v>
      </c>
    </row>
    <row r="111" spans="1:7" ht="19.5" customHeight="1">
      <c r="A111" s="22"/>
      <c r="B111" s="22"/>
      <c r="C111" s="22"/>
      <c r="D111" s="378" t="s">
        <v>149</v>
      </c>
      <c r="E111" s="361"/>
      <c r="F111" s="361"/>
      <c r="G111" s="377">
        <f>G112</f>
        <v>15000</v>
      </c>
    </row>
    <row r="112" spans="1:7" ht="19.5" customHeight="1">
      <c r="A112" s="8"/>
      <c r="B112" s="8"/>
      <c r="C112" s="8"/>
      <c r="D112" s="8" t="s">
        <v>59</v>
      </c>
      <c r="E112" s="360"/>
      <c r="F112" s="360"/>
      <c r="G112" s="360">
        <f>G113</f>
        <v>15000</v>
      </c>
    </row>
    <row r="113" spans="1:7" ht="19.5" customHeight="1">
      <c r="A113" s="13"/>
      <c r="B113" s="13"/>
      <c r="C113" s="13">
        <v>4270</v>
      </c>
      <c r="D113" s="221" t="s">
        <v>88</v>
      </c>
      <c r="E113" s="222"/>
      <c r="F113" s="222"/>
      <c r="G113" s="222">
        <v>15000</v>
      </c>
    </row>
    <row r="116" ht="51">
      <c r="F116" s="432" t="s">
        <v>168</v>
      </c>
    </row>
  </sheetData>
  <mergeCells count="1">
    <mergeCell ref="F7:G7"/>
  </mergeCells>
  <printOptions horizontalCentered="1"/>
  <pageMargins left="0.5905511811023623" right="0.5905511811023623" top="0.6692913385826772" bottom="0.5905511811023623" header="0.5118110236220472" footer="0.35433070866141736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F19" sqref="F19"/>
    </sheetView>
  </sheetViews>
  <sheetFormatPr defaultColWidth="9.00390625" defaultRowHeight="12.75"/>
  <cols>
    <col min="1" max="1" width="7.125" style="0" customWidth="1"/>
    <col min="2" max="2" width="47.25390625" style="0" customWidth="1"/>
    <col min="3" max="3" width="18.375" style="0" customWidth="1"/>
    <col min="4" max="4" width="17.25390625" style="0" customWidth="1"/>
    <col min="5" max="5" width="18.75390625" style="0" customWidth="1"/>
    <col min="6" max="6" width="18.25390625" style="0" customWidth="1"/>
    <col min="8" max="8" width="12.125" style="0" customWidth="1"/>
  </cols>
  <sheetData>
    <row r="1" ht="15" customHeight="1">
      <c r="E1" s="17" t="s">
        <v>124</v>
      </c>
    </row>
    <row r="2" spans="2:5" ht="15" customHeight="1">
      <c r="B2" s="92" t="s">
        <v>73</v>
      </c>
      <c r="E2" s="17" t="s">
        <v>166</v>
      </c>
    </row>
    <row r="3" spans="1:5" ht="15" customHeight="1">
      <c r="A3" s="114"/>
      <c r="B3" s="92"/>
      <c r="E3" s="17" t="s">
        <v>95</v>
      </c>
    </row>
    <row r="4" spans="1:5" ht="15" customHeight="1">
      <c r="A4" s="114"/>
      <c r="B4" s="92"/>
      <c r="E4" s="17" t="s">
        <v>167</v>
      </c>
    </row>
    <row r="5" spans="1:2" ht="12.75">
      <c r="A5" s="114"/>
      <c r="B5" s="96"/>
    </row>
    <row r="6" spans="1:6" ht="18.75" customHeight="1" thickBot="1">
      <c r="A6" s="115"/>
      <c r="B6" s="115"/>
      <c r="C6" s="115"/>
      <c r="D6" s="115"/>
      <c r="E6" s="115"/>
      <c r="F6" s="116" t="s">
        <v>4</v>
      </c>
    </row>
    <row r="7" spans="1:7" ht="90" customHeight="1" thickBot="1" thickTop="1">
      <c r="A7" s="111" t="s">
        <v>2</v>
      </c>
      <c r="B7" s="111" t="s">
        <v>3</v>
      </c>
      <c r="C7" s="28" t="s">
        <v>72</v>
      </c>
      <c r="D7" s="111" t="s">
        <v>37</v>
      </c>
      <c r="E7" s="110" t="s">
        <v>64</v>
      </c>
      <c r="F7" s="117" t="s">
        <v>71</v>
      </c>
      <c r="G7" s="118"/>
    </row>
    <row r="8" spans="1:6" s="16" customFormat="1" ht="12.75" customHeight="1" thickBot="1" thickTop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19">
        <v>6</v>
      </c>
    </row>
    <row r="9" spans="1:6" s="16" customFormat="1" ht="24.75" customHeight="1" thickTop="1">
      <c r="A9" s="120"/>
      <c r="B9" s="121" t="s">
        <v>5</v>
      </c>
      <c r="C9" s="122">
        <v>43508000</v>
      </c>
      <c r="D9" s="123">
        <f>D10</f>
        <v>1113000</v>
      </c>
      <c r="E9" s="124">
        <f>C9+D9</f>
        <v>44621000</v>
      </c>
      <c r="F9" s="125">
        <v>18983000</v>
      </c>
    </row>
    <row r="10" spans="1:8" s="3" customFormat="1" ht="30" customHeight="1">
      <c r="A10" s="7">
        <v>952</v>
      </c>
      <c r="B10" s="91" t="s">
        <v>65</v>
      </c>
      <c r="C10" s="68">
        <v>10008000</v>
      </c>
      <c r="D10" s="68">
        <f>D11</f>
        <v>1113000</v>
      </c>
      <c r="E10" s="126">
        <f>D10+C10</f>
        <v>11121000</v>
      </c>
      <c r="F10" s="127"/>
      <c r="H10" s="53"/>
    </row>
    <row r="11" spans="1:6" ht="21.75" customHeight="1">
      <c r="A11" s="19"/>
      <c r="B11" s="71" t="s">
        <v>21</v>
      </c>
      <c r="C11" s="69">
        <v>10008000</v>
      </c>
      <c r="D11" s="69">
        <v>1113000</v>
      </c>
      <c r="E11" s="128">
        <f>C11+D11</f>
        <v>11121000</v>
      </c>
      <c r="F11" s="129"/>
    </row>
    <row r="13" spans="1:5" ht="15">
      <c r="A13" s="118"/>
      <c r="B13" s="130" t="s">
        <v>82</v>
      </c>
      <c r="C13" s="131"/>
      <c r="D13" s="20"/>
      <c r="E13" s="2"/>
    </row>
    <row r="15" spans="2:5" ht="12.75">
      <c r="B15" t="s">
        <v>83</v>
      </c>
      <c r="E15" s="2"/>
    </row>
    <row r="16" ht="12.75">
      <c r="B16" t="s">
        <v>66</v>
      </c>
    </row>
    <row r="19" ht="38.25">
      <c r="E19" s="432" t="s">
        <v>168</v>
      </c>
    </row>
  </sheetData>
  <printOptions horizontalCentered="1"/>
  <pageMargins left="0.5905511811023623" right="0.5905511811023623" top="0.6692913385826772" bottom="0.5905511811023623" header="0.5118110236220472" footer="0.5118110236220472"/>
  <pageSetup firstPageNumber="12" useFirstPageNumber="1"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D1">
      <selection activeCell="F43" sqref="F43"/>
    </sheetView>
  </sheetViews>
  <sheetFormatPr defaultColWidth="9.00390625" defaultRowHeight="12.75"/>
  <cols>
    <col min="1" max="1" width="6.625" style="0" customWidth="1"/>
    <col min="2" max="2" width="7.00390625" style="0" customWidth="1"/>
    <col min="3" max="3" width="76.875" style="0" customWidth="1"/>
    <col min="4" max="4" width="27.125" style="0" customWidth="1"/>
    <col min="5" max="5" width="24.875" style="0" customWidth="1"/>
    <col min="6" max="6" width="23.125" style="0" customWidth="1"/>
  </cols>
  <sheetData>
    <row r="1" spans="1:6" ht="12.75">
      <c r="A1" s="17"/>
      <c r="B1" s="17"/>
      <c r="C1" s="17"/>
      <c r="D1" s="17"/>
      <c r="E1" s="149" t="s">
        <v>125</v>
      </c>
      <c r="F1" s="17"/>
    </row>
    <row r="2" spans="1:6" ht="18">
      <c r="A2" s="93"/>
      <c r="B2" s="94" t="s">
        <v>22</v>
      </c>
      <c r="C2" s="95"/>
      <c r="D2" s="96"/>
      <c r="E2" s="17" t="s">
        <v>166</v>
      </c>
      <c r="F2" s="17"/>
    </row>
    <row r="3" spans="1:6" ht="18">
      <c r="A3" s="93"/>
      <c r="B3" s="94" t="s">
        <v>23</v>
      </c>
      <c r="C3" s="95"/>
      <c r="D3" s="17"/>
      <c r="E3" s="17" t="s">
        <v>95</v>
      </c>
      <c r="F3" s="17"/>
    </row>
    <row r="4" spans="1:6" ht="18">
      <c r="A4" s="93"/>
      <c r="B4" s="94"/>
      <c r="C4" s="95"/>
      <c r="D4" s="17"/>
      <c r="E4" s="17" t="s">
        <v>167</v>
      </c>
      <c r="F4" s="17"/>
    </row>
    <row r="5" spans="1:6" ht="15" customHeight="1" thickBot="1">
      <c r="A5" s="17"/>
      <c r="B5" s="17"/>
      <c r="C5" s="3"/>
      <c r="D5" s="17"/>
      <c r="E5" s="17"/>
      <c r="F5" s="97" t="s">
        <v>4</v>
      </c>
    </row>
    <row r="6" spans="1:6" ht="75" customHeight="1" thickTop="1">
      <c r="A6" s="425" t="s">
        <v>38</v>
      </c>
      <c r="B6" s="422" t="s">
        <v>30</v>
      </c>
      <c r="C6" s="425" t="s">
        <v>24</v>
      </c>
      <c r="D6" s="424" t="s">
        <v>57</v>
      </c>
      <c r="E6" s="422" t="s">
        <v>56</v>
      </c>
      <c r="F6" s="422" t="s">
        <v>42</v>
      </c>
    </row>
    <row r="7" spans="1:6" ht="2.25" customHeight="1" thickBot="1">
      <c r="A7" s="426"/>
      <c r="B7" s="423"/>
      <c r="C7" s="426"/>
      <c r="D7" s="423"/>
      <c r="E7" s="423"/>
      <c r="F7" s="423"/>
    </row>
    <row r="8" spans="1:6" ht="14.25" thickBot="1" thickTop="1">
      <c r="A8" s="67">
        <v>1</v>
      </c>
      <c r="B8" s="67">
        <v>2</v>
      </c>
      <c r="C8" s="67">
        <v>3</v>
      </c>
      <c r="D8" s="70">
        <v>4</v>
      </c>
      <c r="E8" s="67">
        <v>5</v>
      </c>
      <c r="F8" s="67">
        <v>6</v>
      </c>
    </row>
    <row r="9" spans="1:6" ht="19.5" customHeight="1" thickTop="1">
      <c r="A9" s="98"/>
      <c r="B9" s="98"/>
      <c r="C9" s="134" t="s">
        <v>25</v>
      </c>
      <c r="D9" s="99">
        <v>1163505</v>
      </c>
      <c r="E9" s="100"/>
      <c r="F9" s="100">
        <f>D9+E9</f>
        <v>1163505</v>
      </c>
    </row>
    <row r="10" spans="1:6" ht="19.5" customHeight="1">
      <c r="A10" s="19"/>
      <c r="B10" s="159"/>
      <c r="C10" s="160" t="s">
        <v>26</v>
      </c>
      <c r="D10" s="161">
        <v>3466000</v>
      </c>
      <c r="E10" s="162">
        <f>E13</f>
        <v>100000</v>
      </c>
      <c r="F10" s="162">
        <f aca="true" t="shared" si="0" ref="F10:F38">D10+E10</f>
        <v>3566000</v>
      </c>
    </row>
    <row r="11" spans="1:6" ht="19.5" customHeight="1">
      <c r="A11" s="42">
        <v>900</v>
      </c>
      <c r="B11" s="106"/>
      <c r="C11" s="106" t="s">
        <v>11</v>
      </c>
      <c r="D11" s="6">
        <v>3466000</v>
      </c>
      <c r="E11" s="82">
        <f>E12</f>
        <v>100000</v>
      </c>
      <c r="F11" s="82">
        <f>D11+E11</f>
        <v>3566000</v>
      </c>
    </row>
    <row r="12" spans="1:6" ht="19.5" customHeight="1">
      <c r="A12" s="8"/>
      <c r="B12" s="54">
        <v>90011</v>
      </c>
      <c r="C12" s="54" t="s">
        <v>29</v>
      </c>
      <c r="D12" s="76">
        <v>3466000</v>
      </c>
      <c r="E12" s="76">
        <f>E13</f>
        <v>100000</v>
      </c>
      <c r="F12" s="76">
        <f>D12+E12</f>
        <v>3566000</v>
      </c>
    </row>
    <row r="13" spans="1:6" s="56" customFormat="1" ht="29.25" customHeight="1">
      <c r="A13" s="142"/>
      <c r="B13" s="84"/>
      <c r="C13" s="151" t="s">
        <v>75</v>
      </c>
      <c r="D13" s="152">
        <v>1900000</v>
      </c>
      <c r="E13" s="153">
        <v>100000</v>
      </c>
      <c r="F13" s="153">
        <f t="shared" si="0"/>
        <v>2000000</v>
      </c>
    </row>
    <row r="14" spans="1:6" s="145" customFormat="1" ht="18.75" customHeight="1">
      <c r="A14" s="144"/>
      <c r="B14" s="45">
        <v>296</v>
      </c>
      <c r="C14" s="154" t="s">
        <v>77</v>
      </c>
      <c r="D14" s="155">
        <v>1900000</v>
      </c>
      <c r="E14" s="156">
        <v>100000</v>
      </c>
      <c r="F14" s="156">
        <f t="shared" si="0"/>
        <v>2000000</v>
      </c>
    </row>
    <row r="15" spans="1:6" ht="19.5" customHeight="1">
      <c r="A15" s="65"/>
      <c r="B15" s="8"/>
      <c r="C15" s="102" t="s">
        <v>27</v>
      </c>
      <c r="D15" s="103">
        <v>4629505</v>
      </c>
      <c r="E15" s="76">
        <f>E9+E10</f>
        <v>100000</v>
      </c>
      <c r="F15" s="76">
        <f t="shared" si="0"/>
        <v>4729505</v>
      </c>
    </row>
    <row r="16" spans="1:6" ht="19.5" customHeight="1">
      <c r="A16" s="104"/>
      <c r="B16" s="104"/>
      <c r="C16" s="101" t="s">
        <v>28</v>
      </c>
      <c r="D16" s="105">
        <v>3890000</v>
      </c>
      <c r="E16" s="105">
        <f>E17</f>
        <v>230000</v>
      </c>
      <c r="F16" s="105">
        <f t="shared" si="0"/>
        <v>4120000</v>
      </c>
    </row>
    <row r="17" spans="1:6" ht="19.5" customHeight="1">
      <c r="A17" s="42">
        <v>900</v>
      </c>
      <c r="B17" s="106"/>
      <c r="C17" s="106" t="s">
        <v>11</v>
      </c>
      <c r="D17" s="6">
        <v>3890000</v>
      </c>
      <c r="E17" s="82">
        <f>E18</f>
        <v>230000</v>
      </c>
      <c r="F17" s="82">
        <f t="shared" si="0"/>
        <v>4120000</v>
      </c>
    </row>
    <row r="18" spans="1:6" ht="19.5" customHeight="1">
      <c r="A18" s="8"/>
      <c r="B18" s="54">
        <v>90011</v>
      </c>
      <c r="C18" s="54" t="s">
        <v>29</v>
      </c>
      <c r="D18" s="76">
        <v>3890000</v>
      </c>
      <c r="E18" s="76">
        <f>E24+E26+E28+E30+E35+E19+E22+E33</f>
        <v>230000</v>
      </c>
      <c r="F18" s="76">
        <f t="shared" si="0"/>
        <v>4120000</v>
      </c>
    </row>
    <row r="19" spans="1:6" ht="19.5" customHeight="1">
      <c r="A19" s="8"/>
      <c r="B19" s="8"/>
      <c r="C19" s="108" t="s">
        <v>117</v>
      </c>
      <c r="D19" s="66">
        <v>190000</v>
      </c>
      <c r="E19" s="66">
        <f>SUM(E20:E21)</f>
        <v>0</v>
      </c>
      <c r="F19" s="66">
        <f t="shared" si="0"/>
        <v>190000</v>
      </c>
    </row>
    <row r="20" spans="1:6" ht="19.5" customHeight="1">
      <c r="A20" s="8"/>
      <c r="B20" s="13">
        <v>4300</v>
      </c>
      <c r="C20" s="107" t="s">
        <v>7</v>
      </c>
      <c r="D20" s="10">
        <v>150000</v>
      </c>
      <c r="E20" s="10">
        <v>-1400</v>
      </c>
      <c r="F20" s="10">
        <f t="shared" si="0"/>
        <v>148600</v>
      </c>
    </row>
    <row r="21" spans="1:6" ht="19.5" customHeight="1">
      <c r="A21" s="8"/>
      <c r="B21" s="13">
        <v>6120</v>
      </c>
      <c r="C21" s="107" t="s">
        <v>118</v>
      </c>
      <c r="D21" s="10">
        <v>10000</v>
      </c>
      <c r="E21" s="10">
        <v>1400</v>
      </c>
      <c r="F21" s="10">
        <f t="shared" si="0"/>
        <v>11400</v>
      </c>
    </row>
    <row r="22" spans="1:6" ht="19.5" customHeight="1">
      <c r="A22" s="8"/>
      <c r="B22" s="8"/>
      <c r="C22" s="108" t="s">
        <v>146</v>
      </c>
      <c r="D22" s="66">
        <v>40000</v>
      </c>
      <c r="E22" s="66">
        <f>E23</f>
        <v>-30000</v>
      </c>
      <c r="F22" s="66">
        <f t="shared" si="0"/>
        <v>10000</v>
      </c>
    </row>
    <row r="23" spans="1:6" ht="19.5" customHeight="1">
      <c r="A23" s="8"/>
      <c r="B23" s="13">
        <v>4300</v>
      </c>
      <c r="C23" s="107" t="s">
        <v>7</v>
      </c>
      <c r="D23" s="10">
        <v>40000</v>
      </c>
      <c r="E23" s="10">
        <v>-30000</v>
      </c>
      <c r="F23" s="10">
        <f t="shared" si="0"/>
        <v>10000</v>
      </c>
    </row>
    <row r="24" spans="1:6" s="17" customFormat="1" ht="19.5" customHeight="1">
      <c r="A24" s="8"/>
      <c r="B24" s="8"/>
      <c r="C24" s="108" t="s">
        <v>31</v>
      </c>
      <c r="D24" s="66">
        <v>80000</v>
      </c>
      <c r="E24" s="66">
        <f>E25</f>
        <v>20000</v>
      </c>
      <c r="F24" s="66">
        <f>D24+E24</f>
        <v>100000</v>
      </c>
    </row>
    <row r="25" spans="1:6" s="20" customFormat="1" ht="19.5" customHeight="1">
      <c r="A25" s="11"/>
      <c r="B25" s="13">
        <v>4300</v>
      </c>
      <c r="C25" s="107" t="s">
        <v>7</v>
      </c>
      <c r="D25" s="10">
        <v>80000</v>
      </c>
      <c r="E25" s="10">
        <v>20000</v>
      </c>
      <c r="F25" s="10">
        <f>D25+E25</f>
        <v>100000</v>
      </c>
    </row>
    <row r="26" spans="1:6" s="17" customFormat="1" ht="19.5" customHeight="1">
      <c r="A26" s="8"/>
      <c r="B26" s="8"/>
      <c r="C26" s="108" t="s">
        <v>80</v>
      </c>
      <c r="D26" s="66">
        <v>100000</v>
      </c>
      <c r="E26" s="66">
        <f>E27</f>
        <v>310000</v>
      </c>
      <c r="F26" s="66">
        <f>D26+E26</f>
        <v>410000</v>
      </c>
    </row>
    <row r="27" spans="1:6" s="20" customFormat="1" ht="19.5" customHeight="1">
      <c r="A27" s="11"/>
      <c r="B27" s="13">
        <v>6110</v>
      </c>
      <c r="C27" s="107" t="s">
        <v>78</v>
      </c>
      <c r="D27" s="10">
        <v>100000</v>
      </c>
      <c r="E27" s="10">
        <v>310000</v>
      </c>
      <c r="F27" s="143">
        <f>D27+E27</f>
        <v>410000</v>
      </c>
    </row>
    <row r="28" spans="1:6" s="17" customFormat="1" ht="19.5" customHeight="1">
      <c r="A28" s="8"/>
      <c r="B28" s="8"/>
      <c r="C28" s="146" t="s">
        <v>76</v>
      </c>
      <c r="D28" s="147">
        <v>30000</v>
      </c>
      <c r="E28" s="147">
        <f>E29</f>
        <v>-30000</v>
      </c>
      <c r="F28" s="66">
        <f t="shared" si="0"/>
        <v>0</v>
      </c>
    </row>
    <row r="29" spans="1:6" s="20" customFormat="1" ht="19.5" customHeight="1">
      <c r="A29" s="11"/>
      <c r="B29" s="13">
        <v>4300</v>
      </c>
      <c r="C29" s="107" t="s">
        <v>7</v>
      </c>
      <c r="D29" s="10">
        <v>30000</v>
      </c>
      <c r="E29" s="10">
        <v>-30000</v>
      </c>
      <c r="F29" s="10">
        <f t="shared" si="0"/>
        <v>0</v>
      </c>
    </row>
    <row r="30" spans="1:6" s="17" customFormat="1" ht="19.5" customHeight="1">
      <c r="A30" s="8"/>
      <c r="B30" s="8"/>
      <c r="C30" s="108" t="s">
        <v>79</v>
      </c>
      <c r="D30" s="109">
        <v>80000</v>
      </c>
      <c r="E30" s="109">
        <f>E31</f>
        <v>-80000</v>
      </c>
      <c r="F30" s="109">
        <f t="shared" si="0"/>
        <v>0</v>
      </c>
    </row>
    <row r="31" spans="1:6" s="20" customFormat="1" ht="19.5" customHeight="1">
      <c r="A31" s="11"/>
      <c r="B31" s="11">
        <v>4300</v>
      </c>
      <c r="C31" s="379" t="s">
        <v>7</v>
      </c>
      <c r="D31" s="380">
        <v>80000</v>
      </c>
      <c r="E31" s="381">
        <v>-80000</v>
      </c>
      <c r="F31" s="381">
        <f t="shared" si="0"/>
        <v>0</v>
      </c>
    </row>
    <row r="32" spans="1:6" s="20" customFormat="1" ht="19.5" customHeight="1">
      <c r="A32" s="198"/>
      <c r="B32" s="198"/>
      <c r="C32" s="382"/>
      <c r="D32" s="219"/>
      <c r="E32" s="219"/>
      <c r="F32" s="219"/>
    </row>
    <row r="33" spans="1:6" s="20" customFormat="1" ht="19.5" customHeight="1">
      <c r="A33" s="11"/>
      <c r="B33" s="8"/>
      <c r="C33" s="146" t="s">
        <v>119</v>
      </c>
      <c r="D33" s="229"/>
      <c r="E33" s="229">
        <f>E34</f>
        <v>30000</v>
      </c>
      <c r="F33" s="229">
        <f t="shared" si="0"/>
        <v>30000</v>
      </c>
    </row>
    <row r="34" spans="1:6" s="20" customFormat="1" ht="19.5" customHeight="1">
      <c r="A34" s="11"/>
      <c r="B34" s="13">
        <v>4210</v>
      </c>
      <c r="C34" s="107" t="s">
        <v>120</v>
      </c>
      <c r="D34" s="148"/>
      <c r="E34" s="148">
        <v>30000</v>
      </c>
      <c r="F34" s="148">
        <f t="shared" si="0"/>
        <v>30000</v>
      </c>
    </row>
    <row r="35" spans="1:6" s="17" customFormat="1" ht="19.5" customHeight="1">
      <c r="A35" s="8"/>
      <c r="B35" s="60"/>
      <c r="C35" s="108" t="s">
        <v>81</v>
      </c>
      <c r="D35" s="109"/>
      <c r="E35" s="109">
        <f>E36</f>
        <v>10000</v>
      </c>
      <c r="F35" s="109">
        <f t="shared" si="0"/>
        <v>10000</v>
      </c>
    </row>
    <row r="36" spans="1:6" s="20" customFormat="1" ht="19.5" customHeight="1">
      <c r="A36" s="11"/>
      <c r="B36" s="13">
        <v>4300</v>
      </c>
      <c r="C36" s="107" t="s">
        <v>7</v>
      </c>
      <c r="D36" s="87"/>
      <c r="E36" s="87">
        <v>10000</v>
      </c>
      <c r="F36" s="87">
        <f t="shared" si="0"/>
        <v>10000</v>
      </c>
    </row>
    <row r="37" spans="1:6" s="20" customFormat="1" ht="19.5" customHeight="1">
      <c r="A37" s="11"/>
      <c r="B37" s="133"/>
      <c r="C37" s="132" t="s">
        <v>67</v>
      </c>
      <c r="D37" s="87">
        <v>739505</v>
      </c>
      <c r="E37" s="87">
        <v>-130000</v>
      </c>
      <c r="F37" s="87">
        <f t="shared" si="0"/>
        <v>609505</v>
      </c>
    </row>
    <row r="38" spans="1:6" ht="19.5" customHeight="1">
      <c r="A38" s="19"/>
      <c r="B38" s="86"/>
      <c r="C38" s="102" t="s">
        <v>27</v>
      </c>
      <c r="D38" s="103">
        <v>4629505</v>
      </c>
      <c r="E38" s="103">
        <f>E16+E37</f>
        <v>100000</v>
      </c>
      <c r="F38" s="103">
        <f t="shared" si="0"/>
        <v>4729505</v>
      </c>
    </row>
    <row r="41" ht="38.25">
      <c r="E41" s="432" t="s">
        <v>168</v>
      </c>
    </row>
  </sheetData>
  <mergeCells count="6">
    <mergeCell ref="E6:E7"/>
    <mergeCell ref="F6:F7"/>
    <mergeCell ref="D6:D7"/>
    <mergeCell ref="A6:A7"/>
    <mergeCell ref="B6:B7"/>
    <mergeCell ref="C6:C7"/>
  </mergeCells>
  <printOptions horizontalCentered="1"/>
  <pageMargins left="0.5905511811023623" right="0.5905511811023623" top="0.5905511811023623" bottom="0.3937007874015748" header="0.5118110236220472" footer="0.31496062992125984"/>
  <pageSetup firstPageNumber="13" useFirstPageNumber="1" horizontalDpi="300" verticalDpi="300" orientation="landscape" paperSize="9" scale="8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B1">
      <selection activeCell="G31" sqref="G31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49.00390625" style="0" customWidth="1"/>
    <col min="4" max="4" width="16.75390625" style="0" customWidth="1"/>
    <col min="5" max="5" width="14.00390625" style="0" customWidth="1"/>
    <col min="6" max="8" width="14.75390625" style="0" customWidth="1"/>
    <col min="9" max="16384" width="11.375" style="0" customWidth="1"/>
  </cols>
  <sheetData>
    <row r="1" spans="1:8" ht="15.75" customHeight="1">
      <c r="A1" s="230"/>
      <c r="B1" s="230"/>
      <c r="C1" s="230"/>
      <c r="D1" s="230"/>
      <c r="E1" s="231"/>
      <c r="F1" s="231"/>
      <c r="G1" s="232" t="s">
        <v>68</v>
      </c>
      <c r="H1" s="231"/>
    </row>
    <row r="2" spans="1:8" ht="15.75" customHeight="1">
      <c r="A2" s="230"/>
      <c r="B2" s="233"/>
      <c r="C2" s="230"/>
      <c r="D2" s="230"/>
      <c r="E2" s="231"/>
      <c r="F2" s="231"/>
      <c r="G2" s="17" t="s">
        <v>166</v>
      </c>
      <c r="H2" s="231"/>
    </row>
    <row r="3" spans="1:8" ht="15.75" customHeight="1">
      <c r="A3" s="230"/>
      <c r="B3" s="230"/>
      <c r="C3" s="234" t="s">
        <v>126</v>
      </c>
      <c r="D3" s="230"/>
      <c r="E3" s="231"/>
      <c r="F3" s="230"/>
      <c r="G3" s="17" t="s">
        <v>95</v>
      </c>
      <c r="H3" s="231"/>
    </row>
    <row r="4" spans="1:8" ht="15.75" customHeight="1">
      <c r="A4" s="230"/>
      <c r="B4" s="230"/>
      <c r="C4" s="230"/>
      <c r="D4" s="230"/>
      <c r="E4" s="231"/>
      <c r="F4" s="230"/>
      <c r="G4" s="17" t="s">
        <v>167</v>
      </c>
      <c r="H4" s="231"/>
    </row>
    <row r="5" spans="1:8" ht="22.5" customHeight="1">
      <c r="A5" s="230"/>
      <c r="B5" s="230"/>
      <c r="C5" s="233"/>
      <c r="D5" s="231"/>
      <c r="E5" s="231"/>
      <c r="F5" s="231"/>
      <c r="G5" s="231"/>
      <c r="H5" s="231"/>
    </row>
    <row r="6" spans="1:8" ht="13.5" thickBot="1">
      <c r="A6" s="230"/>
      <c r="B6" s="230"/>
      <c r="C6" s="233"/>
      <c r="D6" s="231"/>
      <c r="E6" s="235"/>
      <c r="F6" s="235"/>
      <c r="G6" s="235"/>
      <c r="H6" s="236" t="s">
        <v>4</v>
      </c>
    </row>
    <row r="7" spans="1:8" ht="44.25" customHeight="1" thickBot="1" thickTop="1">
      <c r="A7" s="237" t="s">
        <v>38</v>
      </c>
      <c r="B7" s="238" t="s">
        <v>127</v>
      </c>
      <c r="C7" s="239" t="s">
        <v>128</v>
      </c>
      <c r="D7" s="240" t="s">
        <v>129</v>
      </c>
      <c r="E7" s="241" t="s">
        <v>130</v>
      </c>
      <c r="F7" s="241" t="s">
        <v>131</v>
      </c>
      <c r="G7" s="241" t="s">
        <v>132</v>
      </c>
      <c r="H7" s="241" t="s">
        <v>133</v>
      </c>
    </row>
    <row r="8" spans="1:8" ht="18" customHeight="1" thickBot="1" thickTop="1">
      <c r="A8" s="242">
        <v>1</v>
      </c>
      <c r="B8" s="243">
        <v>2</v>
      </c>
      <c r="C8" s="244">
        <v>3</v>
      </c>
      <c r="D8" s="245">
        <v>4</v>
      </c>
      <c r="E8" s="245">
        <v>5</v>
      </c>
      <c r="F8" s="245">
        <v>6</v>
      </c>
      <c r="G8" s="245">
        <v>7</v>
      </c>
      <c r="H8" s="245">
        <v>8</v>
      </c>
    </row>
    <row r="9" spans="1:8" ht="24" customHeight="1" thickBot="1" thickTop="1">
      <c r="A9" s="246"/>
      <c r="B9" s="247"/>
      <c r="C9" s="248" t="s">
        <v>134</v>
      </c>
      <c r="D9" s="249">
        <f aca="true" t="shared" si="0" ref="D9:D24">SUM(E9:H9)</f>
        <v>645361072</v>
      </c>
      <c r="E9" s="249">
        <f>167063817</f>
        <v>167063817</v>
      </c>
      <c r="F9" s="249">
        <f>157863425</f>
        <v>157863425</v>
      </c>
      <c r="G9" s="249">
        <f>159251977+G16+G19+G24</f>
        <v>161214977</v>
      </c>
      <c r="H9" s="250">
        <f>159218853+H16+H19+H24</f>
        <v>159218853</v>
      </c>
    </row>
    <row r="10" spans="1:8" ht="22.5" customHeight="1" thickBot="1" thickTop="1">
      <c r="A10" s="251"/>
      <c r="B10" s="252"/>
      <c r="C10" s="253" t="s">
        <v>98</v>
      </c>
      <c r="D10" s="254">
        <f t="shared" si="0"/>
        <v>631098127</v>
      </c>
      <c r="E10" s="254">
        <f>163430423</f>
        <v>163430423</v>
      </c>
      <c r="F10" s="254">
        <f>154212458</f>
        <v>154212458</v>
      </c>
      <c r="G10" s="254">
        <f>155918664+G16+G19+G24</f>
        <v>157881664</v>
      </c>
      <c r="H10" s="254">
        <f>155573582+H16+H19+H24</f>
        <v>155573582</v>
      </c>
    </row>
    <row r="11" spans="1:8" ht="20.25" customHeight="1" thickTop="1">
      <c r="A11" s="255"/>
      <c r="B11" s="256"/>
      <c r="C11" s="257" t="s">
        <v>99</v>
      </c>
      <c r="D11" s="258">
        <f t="shared" si="0"/>
        <v>567222477</v>
      </c>
      <c r="E11" s="258">
        <f>150554623</f>
        <v>150554623</v>
      </c>
      <c r="F11" s="258">
        <f>135877028</f>
        <v>135877028</v>
      </c>
      <c r="G11" s="258">
        <f>139011364+G16+G19+G24</f>
        <v>140974364</v>
      </c>
      <c r="H11" s="258">
        <f>139816462+H16+H19+H24</f>
        <v>139816462</v>
      </c>
    </row>
    <row r="12" spans="1:8" s="263" customFormat="1" ht="21" customHeight="1">
      <c r="A12" s="259"/>
      <c r="B12" s="260"/>
      <c r="C12" s="261" t="s">
        <v>135</v>
      </c>
      <c r="D12" s="262">
        <f t="shared" si="0"/>
        <v>377919773</v>
      </c>
      <c r="E12" s="262">
        <f>98654517</f>
        <v>98654517</v>
      </c>
      <c r="F12" s="262">
        <f>90023852</f>
        <v>90023852</v>
      </c>
      <c r="G12" s="262">
        <f>93136363+G16+G19</f>
        <v>94799363</v>
      </c>
      <c r="H12" s="262">
        <f>94442041+H16+H19</f>
        <v>94442041</v>
      </c>
    </row>
    <row r="13" spans="1:8" s="263" customFormat="1" ht="21" customHeight="1" thickBot="1">
      <c r="A13" s="45"/>
      <c r="B13" s="264"/>
      <c r="C13" s="265" t="s">
        <v>45</v>
      </c>
      <c r="D13" s="266">
        <f>SUM(E13:H13)</f>
        <v>112380693</v>
      </c>
      <c r="E13" s="266">
        <f>33268566</f>
        <v>33268566</v>
      </c>
      <c r="F13" s="266">
        <f>26495797</f>
        <v>26495797</v>
      </c>
      <c r="G13" s="266">
        <f>25858170+G16</f>
        <v>26758170</v>
      </c>
      <c r="H13" s="266">
        <f>25858160+H16</f>
        <v>25858160</v>
      </c>
    </row>
    <row r="14" spans="1:8" s="263" customFormat="1" ht="20.25" customHeight="1" thickTop="1">
      <c r="A14" s="267">
        <v>758</v>
      </c>
      <c r="B14" s="268"/>
      <c r="C14" s="269" t="s">
        <v>8</v>
      </c>
      <c r="D14" s="44">
        <f t="shared" si="0"/>
        <v>112380693</v>
      </c>
      <c r="E14" s="44">
        <f>33268566</f>
        <v>33268566</v>
      </c>
      <c r="F14" s="44">
        <f>26495797</f>
        <v>26495797</v>
      </c>
      <c r="G14" s="44">
        <f>25858170+G16</f>
        <v>26758170</v>
      </c>
      <c r="H14" s="44">
        <f>25858160+H16</f>
        <v>25858160</v>
      </c>
    </row>
    <row r="15" spans="1:8" s="263" customFormat="1" ht="27" customHeight="1">
      <c r="A15" s="270"/>
      <c r="B15" s="271">
        <v>75801</v>
      </c>
      <c r="C15" s="272" t="s">
        <v>9</v>
      </c>
      <c r="D15" s="273">
        <f t="shared" si="0"/>
        <v>96336410</v>
      </c>
      <c r="E15" s="273">
        <v>29641910</v>
      </c>
      <c r="F15" s="273">
        <v>22231500</v>
      </c>
      <c r="G15" s="273">
        <v>22231500</v>
      </c>
      <c r="H15" s="273">
        <v>22231500</v>
      </c>
    </row>
    <row r="16" spans="1:8" s="278" customFormat="1" ht="18.75" customHeight="1">
      <c r="A16" s="274"/>
      <c r="B16" s="275"/>
      <c r="C16" s="276"/>
      <c r="D16" s="277">
        <f t="shared" si="0"/>
        <v>900000</v>
      </c>
      <c r="E16" s="277"/>
      <c r="F16" s="277"/>
      <c r="G16" s="277">
        <v>900000</v>
      </c>
      <c r="H16" s="277"/>
    </row>
    <row r="17" spans="1:8" s="263" customFormat="1" ht="29.25" customHeight="1" thickBot="1">
      <c r="A17" s="45"/>
      <c r="B17" s="264"/>
      <c r="C17" s="347" t="s">
        <v>51</v>
      </c>
      <c r="D17" s="266">
        <f>SUM(E17:H17)</f>
        <v>813452</v>
      </c>
      <c r="E17" s="266">
        <v>2988</v>
      </c>
      <c r="F17" s="266">
        <f>22238</f>
        <v>22238</v>
      </c>
      <c r="G17" s="266">
        <f>22238+G19</f>
        <v>785238</v>
      </c>
      <c r="H17" s="266">
        <f>2988+H19</f>
        <v>2988</v>
      </c>
    </row>
    <row r="18" spans="1:8" s="263" customFormat="1" ht="19.5" customHeight="1" thickTop="1">
      <c r="A18" s="267">
        <v>900</v>
      </c>
      <c r="B18" s="268"/>
      <c r="C18" s="269" t="s">
        <v>11</v>
      </c>
      <c r="D18" s="44">
        <f t="shared" si="0"/>
        <v>763000</v>
      </c>
      <c r="E18" s="44"/>
      <c r="F18" s="44"/>
      <c r="G18" s="44">
        <f>G19</f>
        <v>763000</v>
      </c>
      <c r="H18" s="44"/>
    </row>
    <row r="19" spans="1:8" s="263" customFormat="1" ht="19.5" customHeight="1">
      <c r="A19" s="270"/>
      <c r="B19" s="349">
        <v>90003</v>
      </c>
      <c r="C19" s="350" t="s">
        <v>13</v>
      </c>
      <c r="D19" s="351">
        <f t="shared" si="0"/>
        <v>763000</v>
      </c>
      <c r="E19" s="351"/>
      <c r="F19" s="351"/>
      <c r="G19" s="351">
        <v>763000</v>
      </c>
      <c r="H19" s="351"/>
    </row>
    <row r="20" spans="1:8" s="263" customFormat="1" ht="19.5" customHeight="1">
      <c r="A20" s="279"/>
      <c r="B20" s="260"/>
      <c r="C20" s="261" t="s">
        <v>136</v>
      </c>
      <c r="D20" s="262">
        <f t="shared" si="0"/>
        <v>189302704</v>
      </c>
      <c r="E20" s="262">
        <f>51900106</f>
        <v>51900106</v>
      </c>
      <c r="F20" s="262">
        <f>45853176</f>
        <v>45853176</v>
      </c>
      <c r="G20" s="262">
        <f>45875001+G24</f>
        <v>46175001</v>
      </c>
      <c r="H20" s="262">
        <f>45374421+H24</f>
        <v>45374421</v>
      </c>
    </row>
    <row r="21" spans="1:8" ht="19.5" customHeight="1" thickBot="1">
      <c r="A21" s="45"/>
      <c r="B21" s="264"/>
      <c r="C21" s="265" t="s">
        <v>45</v>
      </c>
      <c r="D21" s="58">
        <f t="shared" si="0"/>
        <v>139039658</v>
      </c>
      <c r="E21" s="58">
        <f>40492468</f>
        <v>40492468</v>
      </c>
      <c r="F21" s="58">
        <f>32415760</f>
        <v>32415760</v>
      </c>
      <c r="G21" s="58">
        <f>32915760+G24</f>
        <v>33215760</v>
      </c>
      <c r="H21" s="58">
        <f>32915670+H24</f>
        <v>32915670</v>
      </c>
    </row>
    <row r="22" spans="1:8" s="263" customFormat="1" ht="19.5" customHeight="1" thickTop="1">
      <c r="A22" s="267">
        <v>758</v>
      </c>
      <c r="B22" s="268"/>
      <c r="C22" s="269" t="s">
        <v>8</v>
      </c>
      <c r="D22" s="280">
        <f t="shared" si="0"/>
        <v>139039658</v>
      </c>
      <c r="E22" s="280">
        <f>40492468</f>
        <v>40492468</v>
      </c>
      <c r="F22" s="280">
        <f>32415760</f>
        <v>32415760</v>
      </c>
      <c r="G22" s="280">
        <f>32915760+G24</f>
        <v>33215760</v>
      </c>
      <c r="H22" s="280">
        <f>32915670+H24</f>
        <v>32915670</v>
      </c>
    </row>
    <row r="23" spans="1:8" s="278" customFormat="1" ht="24.75" customHeight="1">
      <c r="A23" s="270"/>
      <c r="B23" s="271">
        <v>75801</v>
      </c>
      <c r="C23" s="272" t="s">
        <v>9</v>
      </c>
      <c r="D23" s="281">
        <f t="shared" si="0"/>
        <v>117997830</v>
      </c>
      <c r="E23" s="281">
        <v>36307000</v>
      </c>
      <c r="F23" s="281">
        <v>27230300</v>
      </c>
      <c r="G23" s="281">
        <v>27230300</v>
      </c>
      <c r="H23" s="281">
        <v>27230230</v>
      </c>
    </row>
    <row r="24" spans="1:8" s="278" customFormat="1" ht="18.75" customHeight="1">
      <c r="A24" s="348"/>
      <c r="B24" s="275"/>
      <c r="C24" s="276"/>
      <c r="D24" s="282">
        <f t="shared" si="0"/>
        <v>300000</v>
      </c>
      <c r="E24" s="282"/>
      <c r="F24" s="282"/>
      <c r="G24" s="282">
        <v>300000</v>
      </c>
      <c r="H24" s="282"/>
    </row>
    <row r="26" ht="12.75">
      <c r="G26" s="283"/>
    </row>
    <row r="27" ht="12.75">
      <c r="G27" s="283"/>
    </row>
    <row r="28" ht="51">
      <c r="G28" s="432" t="s">
        <v>168</v>
      </c>
    </row>
  </sheetData>
  <printOptions/>
  <pageMargins left="0.5905511811023623" right="0.5905511811023623" top="0.7874015748031497" bottom="0.7874015748031497" header="0.5118110236220472" footer="0.5118110236220472"/>
  <pageSetup firstPageNumber="15" useFirstPageNumber="1" horizontalDpi="300" verticalDpi="300" orientation="landscape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75" zoomScaleNormal="75" workbookViewId="0" topLeftCell="D1">
      <selection activeCell="G63" sqref="G63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75390625" style="0" customWidth="1"/>
    <col min="10" max="11" width="13.375" style="0" customWidth="1"/>
    <col min="12" max="16384" width="11.375" style="0" customWidth="1"/>
  </cols>
  <sheetData>
    <row r="1" spans="1:10" ht="18" customHeight="1">
      <c r="A1" s="284"/>
      <c r="B1" s="284"/>
      <c r="C1" s="284"/>
      <c r="D1" s="285"/>
      <c r="E1" s="285"/>
      <c r="F1" s="285"/>
      <c r="G1" s="286" t="s">
        <v>143</v>
      </c>
      <c r="H1" s="285"/>
      <c r="I1" s="287"/>
      <c r="J1" s="287"/>
    </row>
    <row r="2" spans="1:10" ht="15" customHeight="1">
      <c r="A2" s="284"/>
      <c r="B2" s="284"/>
      <c r="C2" s="284"/>
      <c r="D2" s="285"/>
      <c r="E2" s="285"/>
      <c r="F2" s="285"/>
      <c r="G2" s="17" t="s">
        <v>166</v>
      </c>
      <c r="H2" s="285"/>
      <c r="I2" s="287"/>
      <c r="J2" s="287"/>
    </row>
    <row r="3" spans="1:10" ht="18" customHeight="1">
      <c r="A3" s="284"/>
      <c r="B3" s="284"/>
      <c r="C3" s="288" t="s">
        <v>137</v>
      </c>
      <c r="D3" s="285"/>
      <c r="E3" s="285"/>
      <c r="F3" s="285"/>
      <c r="G3" s="17" t="s">
        <v>95</v>
      </c>
      <c r="H3" s="285"/>
      <c r="I3" s="287"/>
      <c r="J3" s="287"/>
    </row>
    <row r="4" spans="1:10" ht="18" customHeight="1">
      <c r="A4" s="284"/>
      <c r="B4" s="284"/>
      <c r="C4" s="289"/>
      <c r="D4" s="285"/>
      <c r="E4" s="285"/>
      <c r="F4" s="285"/>
      <c r="G4" s="17" t="s">
        <v>167</v>
      </c>
      <c r="H4" s="285"/>
      <c r="I4" s="287"/>
      <c r="J4" s="287"/>
    </row>
    <row r="5" spans="1:10" ht="5.25" customHeight="1">
      <c r="A5" s="284"/>
      <c r="B5" s="284"/>
      <c r="C5" s="290"/>
      <c r="D5" s="285"/>
      <c r="E5" s="285"/>
      <c r="F5" s="285"/>
      <c r="G5" s="285"/>
      <c r="H5" s="285"/>
      <c r="I5" s="287"/>
      <c r="J5" s="287"/>
    </row>
    <row r="6" spans="1:10" ht="15.75" thickBot="1">
      <c r="A6" s="284"/>
      <c r="B6" s="284"/>
      <c r="C6" s="284"/>
      <c r="D6" s="285"/>
      <c r="E6" s="285"/>
      <c r="F6" s="285"/>
      <c r="G6" s="285"/>
      <c r="H6" s="291" t="s">
        <v>4</v>
      </c>
      <c r="I6" s="287"/>
      <c r="J6" s="287"/>
    </row>
    <row r="7" spans="1:10" ht="19.5" customHeight="1" thickTop="1">
      <c r="A7" s="292"/>
      <c r="B7" s="292"/>
      <c r="C7" s="293" t="s">
        <v>3</v>
      </c>
      <c r="D7" s="427" t="s">
        <v>138</v>
      </c>
      <c r="E7" s="294"/>
      <c r="F7" s="295"/>
      <c r="G7" s="295"/>
      <c r="H7" s="294"/>
      <c r="I7" s="287"/>
      <c r="J7" s="287"/>
    </row>
    <row r="8" spans="1:10" ht="26.25" customHeight="1" thickBot="1">
      <c r="A8" s="296" t="s">
        <v>38</v>
      </c>
      <c r="B8" s="296" t="s">
        <v>1</v>
      </c>
      <c r="C8" s="297" t="s">
        <v>139</v>
      </c>
      <c r="D8" s="428"/>
      <c r="E8" s="298" t="s">
        <v>130</v>
      </c>
      <c r="F8" s="298" t="s">
        <v>131</v>
      </c>
      <c r="G8" s="298" t="s">
        <v>132</v>
      </c>
      <c r="H8" s="298" t="s">
        <v>133</v>
      </c>
      <c r="I8" s="287"/>
      <c r="J8" s="287"/>
    </row>
    <row r="9" spans="1:9" ht="14.25" customHeight="1" thickBot="1" thickTop="1">
      <c r="A9" s="299">
        <v>1</v>
      </c>
      <c r="B9" s="299">
        <v>2</v>
      </c>
      <c r="C9" s="299">
        <v>3</v>
      </c>
      <c r="D9" s="300">
        <v>4</v>
      </c>
      <c r="E9" s="300">
        <v>5</v>
      </c>
      <c r="F9" s="300">
        <v>6</v>
      </c>
      <c r="G9" s="300">
        <v>7</v>
      </c>
      <c r="H9" s="300">
        <v>8</v>
      </c>
      <c r="I9" s="287"/>
    </row>
    <row r="10" spans="1:11" s="306" customFormat="1" ht="21.75" customHeight="1" thickBot="1" thickTop="1">
      <c r="A10" s="301"/>
      <c r="B10" s="301"/>
      <c r="C10" s="302" t="s">
        <v>39</v>
      </c>
      <c r="D10" s="303">
        <f>SUM(E10:H10)</f>
        <v>670999072</v>
      </c>
      <c r="E10" s="303">
        <f>156206351</f>
        <v>156206351</v>
      </c>
      <c r="F10" s="303">
        <f>175642301+F22</f>
        <v>175342301</v>
      </c>
      <c r="G10" s="303">
        <f>191803970+G17+G22+G24+G26+G31+G33+G34+G39+G44+G47+G50+G55</f>
        <v>192047970</v>
      </c>
      <c r="H10" s="303">
        <f>144270450+H17+H22+H24+H26+H31+H33+H34+H39+H44+H47+H50+H55</f>
        <v>147402450</v>
      </c>
      <c r="I10" s="304"/>
      <c r="J10" s="287"/>
      <c r="K10" s="305"/>
    </row>
    <row r="11" spans="1:11" ht="12.75" customHeight="1">
      <c r="A11" s="307"/>
      <c r="B11" s="307"/>
      <c r="C11" s="308" t="s">
        <v>40</v>
      </c>
      <c r="D11" s="309"/>
      <c r="E11" s="310"/>
      <c r="F11" s="310"/>
      <c r="G11" s="310"/>
      <c r="H11" s="310"/>
      <c r="I11" s="287"/>
      <c r="J11" s="311"/>
      <c r="K11" s="2"/>
    </row>
    <row r="12" spans="1:10" s="263" customFormat="1" ht="19.5" customHeight="1">
      <c r="A12" s="312"/>
      <c r="B12" s="312"/>
      <c r="C12" s="313" t="s">
        <v>98</v>
      </c>
      <c r="D12" s="314">
        <f aca="true" t="shared" si="0" ref="D12:D26">SUM(E12:H12)</f>
        <v>259784163</v>
      </c>
      <c r="E12" s="315">
        <v>48892884</v>
      </c>
      <c r="F12" s="315">
        <f>60053958+F22</f>
        <v>59753958</v>
      </c>
      <c r="G12" s="315">
        <f>83386281+G17+G22+G24+G26+G31+G33+G34+G39+G44+G47+G50</f>
        <v>83600281</v>
      </c>
      <c r="H12" s="315">
        <f>64405040+H17+H22+H24+H26+H31+H33+H34+H39+H44+H47+H50</f>
        <v>67537040</v>
      </c>
      <c r="I12" s="316"/>
      <c r="J12" s="316"/>
    </row>
    <row r="13" spans="1:10" s="263" customFormat="1" ht="19.5" customHeight="1">
      <c r="A13" s="317"/>
      <c r="B13" s="317"/>
      <c r="C13" s="318" t="s">
        <v>99</v>
      </c>
      <c r="D13" s="319">
        <f t="shared" si="0"/>
        <v>15359639</v>
      </c>
      <c r="E13" s="319">
        <v>256750</v>
      </c>
      <c r="F13" s="319">
        <f>4071750</f>
        <v>4071750</v>
      </c>
      <c r="G13" s="319">
        <f>6117750+G17</f>
        <v>5973750</v>
      </c>
      <c r="H13" s="319">
        <f>5238389+H17</f>
        <v>5057389</v>
      </c>
      <c r="I13" s="316"/>
      <c r="J13" s="316"/>
    </row>
    <row r="14" spans="1:10" s="263" customFormat="1" ht="19.5" customHeight="1" thickBot="1">
      <c r="A14" s="320"/>
      <c r="B14" s="320"/>
      <c r="C14" s="321" t="s">
        <v>6</v>
      </c>
      <c r="D14" s="55">
        <f t="shared" si="0"/>
        <v>15279639</v>
      </c>
      <c r="E14" s="55">
        <f>176750</f>
        <v>176750</v>
      </c>
      <c r="F14" s="55">
        <f>4071750</f>
        <v>4071750</v>
      </c>
      <c r="G14" s="55">
        <f>6117750+G17</f>
        <v>5973750</v>
      </c>
      <c r="H14" s="55">
        <f>5238389+H17</f>
        <v>5057389</v>
      </c>
      <c r="I14" s="316"/>
      <c r="J14" s="316"/>
    </row>
    <row r="15" spans="1:10" s="263" customFormat="1" ht="19.5" customHeight="1" thickTop="1">
      <c r="A15" s="5">
        <v>758</v>
      </c>
      <c r="B15" s="5"/>
      <c r="C15" s="5" t="s">
        <v>8</v>
      </c>
      <c r="D15" s="325">
        <f t="shared" si="0"/>
        <v>2761639</v>
      </c>
      <c r="E15" s="325"/>
      <c r="F15" s="325"/>
      <c r="G15" s="325">
        <f>144000+G17</f>
        <v>0</v>
      </c>
      <c r="H15" s="325">
        <f>2942639+H17</f>
        <v>2761639</v>
      </c>
      <c r="I15" s="316"/>
      <c r="J15" s="316"/>
    </row>
    <row r="16" spans="1:10" s="263" customFormat="1" ht="18.75" customHeight="1">
      <c r="A16" s="112"/>
      <c r="B16" s="112">
        <v>75818</v>
      </c>
      <c r="C16" s="112" t="s">
        <v>105</v>
      </c>
      <c r="D16" s="326">
        <f t="shared" si="0"/>
        <v>3086639</v>
      </c>
      <c r="E16" s="326"/>
      <c r="F16" s="326"/>
      <c r="G16" s="326">
        <v>144000</v>
      </c>
      <c r="H16" s="326">
        <v>2942639</v>
      </c>
      <c r="I16" s="316"/>
      <c r="J16" s="316"/>
    </row>
    <row r="17" spans="1:10" s="278" customFormat="1" ht="18.75" customHeight="1">
      <c r="A17" s="327"/>
      <c r="B17" s="352"/>
      <c r="C17" s="353"/>
      <c r="D17" s="354">
        <f t="shared" si="0"/>
        <v>-325000</v>
      </c>
      <c r="E17" s="354"/>
      <c r="F17" s="355"/>
      <c r="G17" s="354">
        <v>-144000</v>
      </c>
      <c r="H17" s="354">
        <v>-181000</v>
      </c>
      <c r="I17" s="322"/>
      <c r="J17" s="328"/>
    </row>
    <row r="18" spans="1:10" s="278" customFormat="1" ht="19.5" customHeight="1">
      <c r="A18" s="8"/>
      <c r="B18" s="8"/>
      <c r="C18" s="318" t="s">
        <v>140</v>
      </c>
      <c r="D18" s="330">
        <f t="shared" si="0"/>
        <v>56029660</v>
      </c>
      <c r="E18" s="330">
        <f>14702806</f>
        <v>14702806</v>
      </c>
      <c r="F18" s="330">
        <f>14762948+F22</f>
        <v>14462948</v>
      </c>
      <c r="G18" s="330">
        <f>13867337+G22+G24+G26</f>
        <v>13867337</v>
      </c>
      <c r="H18" s="330">
        <f>12696569+H22+H24+H26</f>
        <v>12996569</v>
      </c>
      <c r="I18" s="322"/>
      <c r="J18" s="328"/>
    </row>
    <row r="19" spans="1:10" s="278" customFormat="1" ht="19.5" customHeight="1" thickBot="1">
      <c r="A19" s="19"/>
      <c r="B19" s="19"/>
      <c r="C19" s="4" t="s">
        <v>6</v>
      </c>
      <c r="D19" s="331">
        <f t="shared" si="0"/>
        <v>52977160</v>
      </c>
      <c r="E19" s="331">
        <f>13488806</f>
        <v>13488806</v>
      </c>
      <c r="F19" s="331">
        <f>14018698+F22</f>
        <v>13718698</v>
      </c>
      <c r="G19" s="331">
        <f>13258837+G22+G24+G26</f>
        <v>13258837</v>
      </c>
      <c r="H19" s="331">
        <f>12210819+H22+H24+H26</f>
        <v>12510819</v>
      </c>
      <c r="I19" s="322"/>
      <c r="J19" s="328"/>
    </row>
    <row r="20" spans="1:10" s="278" customFormat="1" ht="19.5" customHeight="1" thickTop="1">
      <c r="A20" s="332">
        <v>900</v>
      </c>
      <c r="B20" s="329"/>
      <c r="C20" s="329" t="s">
        <v>11</v>
      </c>
      <c r="D20" s="82">
        <f t="shared" si="0"/>
        <v>24303160</v>
      </c>
      <c r="E20" s="82">
        <f>8030306</f>
        <v>8030306</v>
      </c>
      <c r="F20" s="82">
        <f>6216198+F22</f>
        <v>5916198</v>
      </c>
      <c r="G20" s="82">
        <f>5097456</f>
        <v>5097456</v>
      </c>
      <c r="H20" s="82">
        <f>4959200+H22+H24+H26</f>
        <v>5259200</v>
      </c>
      <c r="I20" s="322"/>
      <c r="J20" s="328"/>
    </row>
    <row r="21" spans="1:10" s="278" customFormat="1" ht="19.5" customHeight="1">
      <c r="A21" s="8"/>
      <c r="B21" s="60">
        <v>90003</v>
      </c>
      <c r="C21" s="60" t="s">
        <v>13</v>
      </c>
      <c r="D21" s="333">
        <f t="shared" si="0"/>
        <v>15275000</v>
      </c>
      <c r="E21" s="333">
        <v>5622412</v>
      </c>
      <c r="F21" s="333">
        <v>3857088</v>
      </c>
      <c r="G21" s="333">
        <v>2707750</v>
      </c>
      <c r="H21" s="333">
        <v>3087750</v>
      </c>
      <c r="I21" s="322"/>
      <c r="J21" s="328"/>
    </row>
    <row r="22" spans="1:10" s="324" customFormat="1" ht="19.5" customHeight="1">
      <c r="A22" s="11"/>
      <c r="B22" s="13"/>
      <c r="C22" s="13"/>
      <c r="D22" s="10">
        <f t="shared" si="0"/>
        <v>-300000</v>
      </c>
      <c r="E22" s="10"/>
      <c r="F22" s="10">
        <v>-300000</v>
      </c>
      <c r="G22" s="10"/>
      <c r="H22" s="10"/>
      <c r="I22" s="323"/>
      <c r="J22" s="334"/>
    </row>
    <row r="23" spans="1:10" s="278" customFormat="1" ht="19.5" customHeight="1">
      <c r="A23" s="8"/>
      <c r="B23" s="60">
        <v>90004</v>
      </c>
      <c r="C23" s="60" t="s">
        <v>16</v>
      </c>
      <c r="D23" s="333">
        <f t="shared" si="0"/>
        <v>2700000</v>
      </c>
      <c r="E23" s="333">
        <v>200000</v>
      </c>
      <c r="F23" s="333">
        <v>880000</v>
      </c>
      <c r="G23" s="333">
        <v>1000000</v>
      </c>
      <c r="H23" s="333">
        <v>620000</v>
      </c>
      <c r="I23" s="322"/>
      <c r="J23" s="328"/>
    </row>
    <row r="24" spans="1:10" s="385" customFormat="1" ht="19.5" customHeight="1">
      <c r="A24" s="11"/>
      <c r="B24" s="13"/>
      <c r="C24" s="13"/>
      <c r="D24" s="10">
        <f t="shared" si="0"/>
        <v>-200000</v>
      </c>
      <c r="E24" s="10"/>
      <c r="F24" s="10"/>
      <c r="G24" s="10"/>
      <c r="H24" s="10">
        <v>-200000</v>
      </c>
      <c r="I24" s="383"/>
      <c r="J24" s="384"/>
    </row>
    <row r="25" spans="1:10" s="388" customFormat="1" ht="18.75" customHeight="1">
      <c r="A25" s="8"/>
      <c r="B25" s="8">
        <v>90015</v>
      </c>
      <c r="C25" s="8" t="s">
        <v>12</v>
      </c>
      <c r="D25" s="9">
        <f t="shared" si="0"/>
        <v>3224170</v>
      </c>
      <c r="E25" s="9">
        <v>1276000</v>
      </c>
      <c r="F25" s="9">
        <v>698170</v>
      </c>
      <c r="G25" s="9">
        <v>650000</v>
      </c>
      <c r="H25" s="9">
        <v>600000</v>
      </c>
      <c r="I25" s="386"/>
      <c r="J25" s="387"/>
    </row>
    <row r="26" spans="1:10" s="385" customFormat="1" ht="18.75" customHeight="1">
      <c r="A26" s="13"/>
      <c r="B26" s="13"/>
      <c r="C26" s="13"/>
      <c r="D26" s="10">
        <f t="shared" si="0"/>
        <v>500000</v>
      </c>
      <c r="E26" s="10"/>
      <c r="F26" s="10"/>
      <c r="G26" s="10"/>
      <c r="H26" s="10">
        <v>500000</v>
      </c>
      <c r="I26" s="383"/>
      <c r="J26" s="384"/>
    </row>
    <row r="27" spans="1:10" s="385" customFormat="1" ht="50.25" customHeight="1">
      <c r="A27" s="130"/>
      <c r="B27" s="130"/>
      <c r="C27" s="130"/>
      <c r="D27" s="113"/>
      <c r="E27" s="113"/>
      <c r="F27" s="113"/>
      <c r="G27" s="113"/>
      <c r="H27" s="113"/>
      <c r="I27" s="383"/>
      <c r="J27" s="384"/>
    </row>
    <row r="28" spans="1:15" s="278" customFormat="1" ht="18.75" customHeight="1">
      <c r="A28" s="8"/>
      <c r="B28" s="8"/>
      <c r="C28" s="318" t="s">
        <v>144</v>
      </c>
      <c r="D28" s="330">
        <f aca="true" t="shared" si="1" ref="D28:D55">SUM(E28:H28)</f>
        <v>51625625</v>
      </c>
      <c r="E28" s="330">
        <f>12794500</f>
        <v>12794500</v>
      </c>
      <c r="F28" s="330">
        <f>12921087</f>
        <v>12921087</v>
      </c>
      <c r="G28" s="330">
        <f>10534538</f>
        <v>10534538</v>
      </c>
      <c r="H28" s="330">
        <f>10112500+H31+H33+H34</f>
        <v>15375500</v>
      </c>
      <c r="I28" s="328"/>
      <c r="J28" s="328"/>
      <c r="K28" s="328"/>
      <c r="L28" s="328"/>
      <c r="O28" s="335"/>
    </row>
    <row r="29" spans="1:12" s="278" customFormat="1" ht="18.75" customHeight="1" thickBot="1">
      <c r="A29" s="19"/>
      <c r="B29" s="19"/>
      <c r="C29" s="4" t="s">
        <v>6</v>
      </c>
      <c r="D29" s="331">
        <f t="shared" si="1"/>
        <v>48742038</v>
      </c>
      <c r="E29" s="331">
        <f>11669500</f>
        <v>11669500</v>
      </c>
      <c r="F29" s="331">
        <f>11162500</f>
        <v>11162500</v>
      </c>
      <c r="G29" s="331">
        <f>10534538</f>
        <v>10534538</v>
      </c>
      <c r="H29" s="331">
        <f>10112500+H31+H33+H34</f>
        <v>15375500</v>
      </c>
      <c r="I29" s="328"/>
      <c r="J29" s="328"/>
      <c r="K29" s="328"/>
      <c r="L29" s="328"/>
    </row>
    <row r="30" spans="1:12" s="278" customFormat="1" ht="18.75" customHeight="1" thickTop="1">
      <c r="A30" s="336">
        <v>801</v>
      </c>
      <c r="B30" s="329"/>
      <c r="C30" s="329" t="s">
        <v>55</v>
      </c>
      <c r="D30" s="82">
        <f t="shared" si="1"/>
        <v>5640038</v>
      </c>
      <c r="E30" s="82"/>
      <c r="F30" s="82"/>
      <c r="G30" s="82">
        <f>377038</f>
        <v>377038</v>
      </c>
      <c r="H30" s="82">
        <f>H31+H33+H34</f>
        <v>5263000</v>
      </c>
      <c r="I30" s="328"/>
      <c r="J30" s="328"/>
      <c r="K30" s="328"/>
      <c r="L30" s="328"/>
    </row>
    <row r="31" spans="1:10" s="278" customFormat="1" ht="18.75" customHeight="1">
      <c r="A31" s="60"/>
      <c r="B31" s="365">
        <v>80101</v>
      </c>
      <c r="C31" s="365" t="s">
        <v>32</v>
      </c>
      <c r="D31" s="366">
        <f t="shared" si="1"/>
        <v>3186000</v>
      </c>
      <c r="E31" s="366"/>
      <c r="F31" s="366"/>
      <c r="G31" s="366"/>
      <c r="H31" s="366">
        <v>3186000</v>
      </c>
      <c r="I31" s="322"/>
      <c r="J31" s="322"/>
    </row>
    <row r="32" spans="1:10" s="278" customFormat="1" ht="18.75" customHeight="1">
      <c r="A32" s="8"/>
      <c r="B32" s="8">
        <v>80110</v>
      </c>
      <c r="C32" s="8" t="s">
        <v>33</v>
      </c>
      <c r="D32" s="9">
        <f t="shared" si="1"/>
        <v>377038</v>
      </c>
      <c r="E32" s="9"/>
      <c r="F32" s="9"/>
      <c r="G32" s="9">
        <v>377038</v>
      </c>
      <c r="H32" s="9"/>
      <c r="I32" s="322"/>
      <c r="J32" s="322"/>
    </row>
    <row r="33" spans="1:10" s="278" customFormat="1" ht="18.75" customHeight="1">
      <c r="A33" s="8"/>
      <c r="B33" s="19"/>
      <c r="C33" s="19"/>
      <c r="D33" s="10">
        <f t="shared" si="1"/>
        <v>1777000</v>
      </c>
      <c r="E33" s="10"/>
      <c r="F33" s="10"/>
      <c r="G33" s="10"/>
      <c r="H33" s="10">
        <v>1777000</v>
      </c>
      <c r="I33" s="322"/>
      <c r="J33" s="322"/>
    </row>
    <row r="34" spans="1:10" s="278" customFormat="1" ht="19.5" customHeight="1">
      <c r="A34" s="8"/>
      <c r="B34" s="365">
        <v>80120</v>
      </c>
      <c r="C34" s="365" t="s">
        <v>34</v>
      </c>
      <c r="D34" s="366">
        <f t="shared" si="1"/>
        <v>300000</v>
      </c>
      <c r="E34" s="366"/>
      <c r="F34" s="366"/>
      <c r="G34" s="366"/>
      <c r="H34" s="366">
        <v>300000</v>
      </c>
      <c r="I34" s="322"/>
      <c r="J34" s="322"/>
    </row>
    <row r="35" spans="1:10" s="263" customFormat="1" ht="19.5" customHeight="1">
      <c r="A35" s="8"/>
      <c r="B35" s="8"/>
      <c r="C35" s="318" t="s">
        <v>141</v>
      </c>
      <c r="D35" s="330">
        <f t="shared" si="1"/>
        <v>42416534</v>
      </c>
      <c r="E35" s="330">
        <f>10651067</f>
        <v>10651067</v>
      </c>
      <c r="F35" s="330">
        <f>12303178</f>
        <v>12303178</v>
      </c>
      <c r="G35" s="330">
        <f>10937431+G39</f>
        <v>11262431</v>
      </c>
      <c r="H35" s="330">
        <f>8199858</f>
        <v>8199858</v>
      </c>
      <c r="I35" s="316"/>
      <c r="J35" s="316"/>
    </row>
    <row r="36" spans="1:10" s="263" customFormat="1" ht="18.75" customHeight="1" thickBot="1">
      <c r="A36" s="19"/>
      <c r="B36" s="19"/>
      <c r="C36" s="4" t="s">
        <v>6</v>
      </c>
      <c r="D36" s="331">
        <f t="shared" si="1"/>
        <v>42009334</v>
      </c>
      <c r="E36" s="331">
        <f>10564468</f>
        <v>10564468</v>
      </c>
      <c r="F36" s="331">
        <f>12196647</f>
        <v>12196647</v>
      </c>
      <c r="G36" s="331">
        <f>10805224+G39</f>
        <v>11130224</v>
      </c>
      <c r="H36" s="331">
        <f>8117995</f>
        <v>8117995</v>
      </c>
      <c r="I36" s="316"/>
      <c r="J36" s="316"/>
    </row>
    <row r="37" spans="1:10" s="263" customFormat="1" ht="18.75" customHeight="1" thickTop="1">
      <c r="A37" s="5">
        <v>851</v>
      </c>
      <c r="B37" s="5"/>
      <c r="C37" s="5" t="s">
        <v>108</v>
      </c>
      <c r="D37" s="6">
        <f t="shared" si="1"/>
        <v>6174536</v>
      </c>
      <c r="E37" s="6">
        <f>1330751</f>
        <v>1330751</v>
      </c>
      <c r="F37" s="6">
        <f>2382217</f>
        <v>2382217</v>
      </c>
      <c r="G37" s="6">
        <f>1592208+G39</f>
        <v>1917208</v>
      </c>
      <c r="H37" s="6">
        <f>544360</f>
        <v>544360</v>
      </c>
      <c r="I37" s="316"/>
      <c r="J37" s="316"/>
    </row>
    <row r="38" spans="1:10" s="278" customFormat="1" ht="18.75" customHeight="1">
      <c r="A38" s="8"/>
      <c r="B38" s="60">
        <v>85121</v>
      </c>
      <c r="C38" s="60" t="s">
        <v>109</v>
      </c>
      <c r="D38" s="9">
        <f t="shared" si="1"/>
        <v>3085000</v>
      </c>
      <c r="E38" s="333">
        <v>1115000</v>
      </c>
      <c r="F38" s="333">
        <v>1060000</v>
      </c>
      <c r="G38" s="333">
        <v>910000</v>
      </c>
      <c r="H38" s="333"/>
      <c r="I38" s="322"/>
      <c r="J38" s="322"/>
    </row>
    <row r="39" spans="1:10" s="278" customFormat="1" ht="18.75" customHeight="1">
      <c r="A39" s="8"/>
      <c r="B39" s="19"/>
      <c r="C39" s="19"/>
      <c r="D39" s="10">
        <f t="shared" si="1"/>
        <v>325000</v>
      </c>
      <c r="E39" s="10"/>
      <c r="F39" s="10"/>
      <c r="G39" s="10">
        <v>325000</v>
      </c>
      <c r="H39" s="10"/>
      <c r="I39" s="322"/>
      <c r="J39" s="322"/>
    </row>
    <row r="40" spans="1:10" s="263" customFormat="1" ht="19.5" customHeight="1">
      <c r="A40" s="8"/>
      <c r="B40" s="8"/>
      <c r="C40" s="318" t="s">
        <v>142</v>
      </c>
      <c r="D40" s="337">
        <f t="shared" si="1"/>
        <v>52590874</v>
      </c>
      <c r="E40" s="337">
        <f>4565018</f>
        <v>4565018</v>
      </c>
      <c r="F40" s="337">
        <f>6951337</f>
        <v>6951337</v>
      </c>
      <c r="G40" s="367">
        <f>29447719+G44+G47+G50</f>
        <v>29480719</v>
      </c>
      <c r="H40" s="337">
        <f>13843800+H44</f>
        <v>11593800</v>
      </c>
      <c r="I40" s="316"/>
      <c r="J40" s="316"/>
    </row>
    <row r="41" spans="1:10" s="263" customFormat="1" ht="18.75" customHeight="1" thickBot="1">
      <c r="A41" s="19"/>
      <c r="B41" s="19"/>
      <c r="C41" s="4" t="s">
        <v>6</v>
      </c>
      <c r="D41" s="338">
        <f t="shared" si="1"/>
        <v>52455874</v>
      </c>
      <c r="E41" s="338">
        <f>4565018</f>
        <v>4565018</v>
      </c>
      <c r="F41" s="338">
        <f>6951337</f>
        <v>6951337</v>
      </c>
      <c r="G41" s="338">
        <f>29312719+G47+G50+G44</f>
        <v>29345719</v>
      </c>
      <c r="H41" s="338">
        <f>13843800+H44</f>
        <v>11593800</v>
      </c>
      <c r="I41" s="316"/>
      <c r="J41" s="316"/>
    </row>
    <row r="42" spans="1:10" s="263" customFormat="1" ht="18.75" customHeight="1" thickTop="1">
      <c r="A42" s="329">
        <v>801</v>
      </c>
      <c r="B42" s="329"/>
      <c r="C42" s="5" t="s">
        <v>55</v>
      </c>
      <c r="D42" s="207">
        <f t="shared" si="1"/>
        <v>9412000</v>
      </c>
      <c r="E42" s="207">
        <f>838541</f>
        <v>838541</v>
      </c>
      <c r="F42" s="207">
        <f>1378457</f>
        <v>1378457</v>
      </c>
      <c r="G42" s="207">
        <f>6595002</f>
        <v>6595002</v>
      </c>
      <c r="H42" s="207">
        <f>2850000+H44</f>
        <v>600000</v>
      </c>
      <c r="I42" s="316"/>
      <c r="J42" s="316"/>
    </row>
    <row r="43" spans="1:10" s="263" customFormat="1" ht="18.75" customHeight="1">
      <c r="A43" s="8"/>
      <c r="B43" s="60">
        <v>80130</v>
      </c>
      <c r="C43" s="60" t="s">
        <v>35</v>
      </c>
      <c r="D43" s="209">
        <f t="shared" si="1"/>
        <v>6200000</v>
      </c>
      <c r="E43" s="209">
        <f>198245</f>
        <v>198245</v>
      </c>
      <c r="F43" s="209">
        <v>214565</v>
      </c>
      <c r="G43" s="209">
        <v>3387190</v>
      </c>
      <c r="H43" s="209">
        <v>2400000</v>
      </c>
      <c r="I43" s="316"/>
      <c r="J43" s="316"/>
    </row>
    <row r="44" spans="1:10" s="263" customFormat="1" ht="18.75" customHeight="1">
      <c r="A44" s="8"/>
      <c r="B44" s="19"/>
      <c r="C44" s="19"/>
      <c r="D44" s="211">
        <f t="shared" si="1"/>
        <v>-2250000</v>
      </c>
      <c r="E44" s="211"/>
      <c r="F44" s="211"/>
      <c r="G44" s="211"/>
      <c r="H44" s="211">
        <v>-2250000</v>
      </c>
      <c r="I44" s="316"/>
      <c r="J44" s="316"/>
    </row>
    <row r="45" spans="1:10" s="263" customFormat="1" ht="18.75" customHeight="1">
      <c r="A45" s="329">
        <v>900</v>
      </c>
      <c r="B45" s="329"/>
      <c r="C45" s="329" t="s">
        <v>11</v>
      </c>
      <c r="D45" s="339">
        <f t="shared" si="1"/>
        <v>6688000</v>
      </c>
      <c r="E45" s="339">
        <f>1719531</f>
        <v>1719531</v>
      </c>
      <c r="F45" s="339">
        <f>1110690</f>
        <v>1110690</v>
      </c>
      <c r="G45" s="339">
        <f>2433779+G47</f>
        <v>2716779</v>
      </c>
      <c r="H45" s="339">
        <f>1141000</f>
        <v>1141000</v>
      </c>
      <c r="I45" s="316"/>
      <c r="J45" s="316"/>
    </row>
    <row r="46" spans="1:10" s="263" customFormat="1" ht="18.75" customHeight="1">
      <c r="A46" s="8"/>
      <c r="B46" s="60">
        <v>90095</v>
      </c>
      <c r="C46" s="60" t="s">
        <v>50</v>
      </c>
      <c r="D46" s="209">
        <f t="shared" si="1"/>
        <v>2400000</v>
      </c>
      <c r="E46" s="209">
        <v>912429</v>
      </c>
      <c r="F46" s="209">
        <v>1000320</v>
      </c>
      <c r="G46" s="209">
        <v>487251</v>
      </c>
      <c r="H46" s="209"/>
      <c r="I46" s="316"/>
      <c r="J46" s="316"/>
    </row>
    <row r="47" spans="1:10" s="263" customFormat="1" ht="18.75" customHeight="1">
      <c r="A47" s="8"/>
      <c r="B47" s="19"/>
      <c r="C47" s="19"/>
      <c r="D47" s="211">
        <f t="shared" si="1"/>
        <v>283000</v>
      </c>
      <c r="E47" s="211"/>
      <c r="F47" s="211"/>
      <c r="G47" s="211">
        <v>283000</v>
      </c>
      <c r="H47" s="211"/>
      <c r="I47" s="316"/>
      <c r="J47" s="316"/>
    </row>
    <row r="48" spans="1:10" s="263" customFormat="1" ht="18.75" customHeight="1">
      <c r="A48" s="329">
        <v>921</v>
      </c>
      <c r="B48" s="329"/>
      <c r="C48" s="329" t="s">
        <v>17</v>
      </c>
      <c r="D48" s="339">
        <f t="shared" si="1"/>
        <v>2867000</v>
      </c>
      <c r="E48" s="339">
        <f>435885</f>
        <v>435885</v>
      </c>
      <c r="F48" s="339">
        <f>767860</f>
        <v>767860</v>
      </c>
      <c r="G48" s="339">
        <f>1913255+G50</f>
        <v>1663255</v>
      </c>
      <c r="H48" s="339"/>
      <c r="I48" s="316"/>
      <c r="J48" s="316"/>
    </row>
    <row r="49" spans="1:10" s="263" customFormat="1" ht="18.75" customHeight="1">
      <c r="A49" s="8"/>
      <c r="B49" s="60">
        <v>92120</v>
      </c>
      <c r="C49" s="60" t="s">
        <v>18</v>
      </c>
      <c r="D49" s="209">
        <f t="shared" si="1"/>
        <v>1697000</v>
      </c>
      <c r="E49" s="209">
        <v>264544</v>
      </c>
      <c r="F49" s="209">
        <v>81241</v>
      </c>
      <c r="G49" s="209">
        <v>1351215</v>
      </c>
      <c r="H49" s="209"/>
      <c r="I49" s="316"/>
      <c r="J49" s="316"/>
    </row>
    <row r="50" spans="1:10" s="263" customFormat="1" ht="18.75" customHeight="1">
      <c r="A50" s="8"/>
      <c r="B50" s="19"/>
      <c r="C50" s="19"/>
      <c r="D50" s="211">
        <f t="shared" si="1"/>
        <v>-250000</v>
      </c>
      <c r="E50" s="211"/>
      <c r="F50" s="211"/>
      <c r="G50" s="211">
        <v>-250000</v>
      </c>
      <c r="H50" s="211"/>
      <c r="I50" s="316"/>
      <c r="J50" s="316"/>
    </row>
    <row r="51" spans="1:10" s="263" customFormat="1" ht="19.5" customHeight="1">
      <c r="A51" s="8"/>
      <c r="B51" s="8"/>
      <c r="C51" s="340" t="s">
        <v>145</v>
      </c>
      <c r="D51" s="341">
        <f t="shared" si="1"/>
        <v>301370906</v>
      </c>
      <c r="E51" s="341">
        <f>78399803</f>
        <v>78399803</v>
      </c>
      <c r="F51" s="341">
        <f>86369851</f>
        <v>86369851</v>
      </c>
      <c r="G51" s="341">
        <f>81603701+G55</f>
        <v>81633701</v>
      </c>
      <c r="H51" s="341">
        <f>54967551</f>
        <v>54967551</v>
      </c>
      <c r="I51" s="316"/>
      <c r="J51" s="316"/>
    </row>
    <row r="52" spans="1:10" s="263" customFormat="1" ht="18.75" customHeight="1" thickBot="1">
      <c r="A52" s="19"/>
      <c r="B52" s="19"/>
      <c r="C52" s="4" t="s">
        <v>6</v>
      </c>
      <c r="D52" s="58">
        <f t="shared" si="1"/>
        <v>301318536</v>
      </c>
      <c r="E52" s="58">
        <f>78399599</f>
        <v>78399599</v>
      </c>
      <c r="F52" s="58">
        <f>86323818</f>
        <v>86323818</v>
      </c>
      <c r="G52" s="58">
        <f>81598093+G55</f>
        <v>81628093</v>
      </c>
      <c r="H52" s="58">
        <f>54967026</f>
        <v>54967026</v>
      </c>
      <c r="I52" s="316"/>
      <c r="J52" s="316"/>
    </row>
    <row r="53" spans="1:12" s="263" customFormat="1" ht="18.75" customHeight="1" thickTop="1">
      <c r="A53" s="5">
        <v>801</v>
      </c>
      <c r="B53" s="5"/>
      <c r="C53" s="5" t="s">
        <v>55</v>
      </c>
      <c r="D53" s="6">
        <f t="shared" si="1"/>
        <v>224710111</v>
      </c>
      <c r="E53" s="6">
        <f>58775113</f>
        <v>58775113</v>
      </c>
      <c r="F53" s="6">
        <f>64341131</f>
        <v>64341131</v>
      </c>
      <c r="G53" s="6">
        <f>60886823+G55</f>
        <v>60916823</v>
      </c>
      <c r="H53" s="6">
        <f>40677044</f>
        <v>40677044</v>
      </c>
      <c r="I53" s="342"/>
      <c r="J53" s="342"/>
      <c r="K53" s="342"/>
      <c r="L53" s="342"/>
    </row>
    <row r="54" spans="1:10" s="263" customFormat="1" ht="18.75" customHeight="1">
      <c r="A54" s="343"/>
      <c r="B54" s="344">
        <v>80101</v>
      </c>
      <c r="C54" s="344" t="s">
        <v>32</v>
      </c>
      <c r="D54" s="333">
        <f t="shared" si="1"/>
        <v>77186535</v>
      </c>
      <c r="E54" s="333">
        <v>20492670</v>
      </c>
      <c r="F54" s="333">
        <v>21821989</v>
      </c>
      <c r="G54" s="333">
        <v>18848995</v>
      </c>
      <c r="H54" s="333">
        <v>16022881</v>
      </c>
      <c r="I54" s="316"/>
      <c r="J54" s="316"/>
    </row>
    <row r="55" spans="1:10" s="263" customFormat="1" ht="18.75" customHeight="1">
      <c r="A55" s="345"/>
      <c r="B55" s="345"/>
      <c r="C55" s="345"/>
      <c r="D55" s="346">
        <f t="shared" si="1"/>
        <v>30000</v>
      </c>
      <c r="E55" s="346"/>
      <c r="F55" s="346"/>
      <c r="G55" s="346">
        <v>30000</v>
      </c>
      <c r="H55" s="346"/>
      <c r="I55" s="316"/>
      <c r="J55" s="316"/>
    </row>
    <row r="57" ht="12.75">
      <c r="G57" s="283"/>
    </row>
    <row r="58" ht="51">
      <c r="G58" s="432" t="s">
        <v>168</v>
      </c>
    </row>
  </sheetData>
  <mergeCells count="1">
    <mergeCell ref="D7:D8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300" verticalDpi="300" orientation="landscape" paperSize="9" scale="90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B1">
      <selection activeCell="G27" sqref="G27"/>
    </sheetView>
  </sheetViews>
  <sheetFormatPr defaultColWidth="9.00390625" defaultRowHeight="12.75"/>
  <cols>
    <col min="1" max="1" width="6.625" style="17" customWidth="1"/>
    <col min="2" max="2" width="7.75390625" style="17" customWidth="1"/>
    <col min="3" max="3" width="49.25390625" style="17" customWidth="1"/>
    <col min="4" max="4" width="16.25390625" style="17" customWidth="1"/>
    <col min="5" max="5" width="14.625" style="17" customWidth="1"/>
    <col min="6" max="7" width="14.00390625" style="17" customWidth="1"/>
    <col min="8" max="8" width="13.00390625" style="17" customWidth="1"/>
    <col min="10" max="16384" width="9.125" style="17" customWidth="1"/>
  </cols>
  <sheetData>
    <row r="1" spans="2:8" ht="12.75">
      <c r="B1" s="3"/>
      <c r="C1" s="199"/>
      <c r="E1" s="21"/>
      <c r="F1" s="21"/>
      <c r="G1" s="21" t="s">
        <v>161</v>
      </c>
      <c r="H1" s="21"/>
    </row>
    <row r="2" spans="1:8" ht="15.75">
      <c r="A2" s="429" t="s">
        <v>156</v>
      </c>
      <c r="B2" s="430"/>
      <c r="C2" s="430"/>
      <c r="D2" s="430"/>
      <c r="E2" s="430"/>
      <c r="F2" s="21"/>
      <c r="G2" s="17" t="s">
        <v>166</v>
      </c>
      <c r="H2" s="53"/>
    </row>
    <row r="3" spans="1:8" ht="15.75">
      <c r="A3" s="429" t="s">
        <v>157</v>
      </c>
      <c r="B3" s="430"/>
      <c r="C3" s="430"/>
      <c r="D3" s="430"/>
      <c r="E3" s="430"/>
      <c r="F3" s="53"/>
      <c r="G3" s="17" t="s">
        <v>95</v>
      </c>
      <c r="H3" s="21"/>
    </row>
    <row r="4" spans="1:8" ht="15.75">
      <c r="A4" s="429" t="s">
        <v>158</v>
      </c>
      <c r="B4" s="430"/>
      <c r="C4" s="430"/>
      <c r="D4" s="430"/>
      <c r="E4" s="430"/>
      <c r="F4" s="21"/>
      <c r="G4" s="17" t="s">
        <v>167</v>
      </c>
      <c r="H4" s="21"/>
    </row>
    <row r="5" spans="1:8" ht="9.75" customHeight="1">
      <c r="A5" s="392"/>
      <c r="B5" s="199"/>
      <c r="C5" s="199"/>
      <c r="D5" s="199"/>
      <c r="E5" s="199"/>
      <c r="F5" s="21"/>
      <c r="G5" s="21"/>
      <c r="H5" s="21"/>
    </row>
    <row r="6" spans="3:8" ht="13.5" thickBot="1">
      <c r="C6" s="392"/>
      <c r="D6" s="21"/>
      <c r="E6" s="393"/>
      <c r="F6" s="393"/>
      <c r="G6" s="393"/>
      <c r="H6" s="64" t="s">
        <v>4</v>
      </c>
    </row>
    <row r="7" spans="1:8" ht="13.5" thickTop="1">
      <c r="A7" s="59"/>
      <c r="B7" s="59"/>
      <c r="C7" s="394"/>
      <c r="D7" s="395"/>
      <c r="E7" s="396"/>
      <c r="F7" s="396"/>
      <c r="G7" s="396"/>
      <c r="H7" s="396"/>
    </row>
    <row r="8" spans="1:8" ht="42" customHeight="1" thickBot="1">
      <c r="A8" s="397" t="s">
        <v>38</v>
      </c>
      <c r="B8" s="398" t="s">
        <v>127</v>
      </c>
      <c r="C8" s="398" t="s">
        <v>159</v>
      </c>
      <c r="D8" s="398" t="s">
        <v>160</v>
      </c>
      <c r="E8" s="399" t="s">
        <v>130</v>
      </c>
      <c r="F8" s="399" t="s">
        <v>131</v>
      </c>
      <c r="G8" s="399" t="s">
        <v>132</v>
      </c>
      <c r="H8" s="399" t="s">
        <v>133</v>
      </c>
    </row>
    <row r="9" spans="1:8" s="140" customFormat="1" ht="14.25" customHeight="1" thickBot="1" thickTop="1">
      <c r="A9" s="67">
        <v>1</v>
      </c>
      <c r="B9" s="67">
        <v>2</v>
      </c>
      <c r="C9" s="67">
        <v>3</v>
      </c>
      <c r="D9" s="400">
        <v>4</v>
      </c>
      <c r="E9" s="400">
        <v>5</v>
      </c>
      <c r="F9" s="400">
        <v>6</v>
      </c>
      <c r="G9" s="400">
        <v>7</v>
      </c>
      <c r="H9" s="400">
        <v>8</v>
      </c>
    </row>
    <row r="10" spans="1:8" ht="36.75" customHeight="1" thickBot="1" thickTop="1">
      <c r="A10" s="401"/>
      <c r="B10" s="401"/>
      <c r="C10" s="417" t="s">
        <v>162</v>
      </c>
      <c r="D10" s="418">
        <f>SUM(E10:H10)</f>
        <v>3566000</v>
      </c>
      <c r="E10" s="419">
        <f aca="true" t="shared" si="0" ref="E10:G12">844000</f>
        <v>844000</v>
      </c>
      <c r="F10" s="419">
        <f t="shared" si="0"/>
        <v>844000</v>
      </c>
      <c r="G10" s="419">
        <f t="shared" si="0"/>
        <v>844000</v>
      </c>
      <c r="H10" s="419">
        <f>934000+H14</f>
        <v>1034000</v>
      </c>
    </row>
    <row r="11" spans="1:8" ht="19.5" customHeight="1" thickTop="1">
      <c r="A11" s="413"/>
      <c r="B11" s="413"/>
      <c r="C11" s="415" t="s">
        <v>163</v>
      </c>
      <c r="D11" s="416">
        <f>SUM(E11:H11)</f>
        <v>3566000</v>
      </c>
      <c r="E11" s="416">
        <f t="shared" si="0"/>
        <v>844000</v>
      </c>
      <c r="F11" s="416">
        <f t="shared" si="0"/>
        <v>844000</v>
      </c>
      <c r="G11" s="416">
        <f t="shared" si="0"/>
        <v>844000</v>
      </c>
      <c r="H11" s="416">
        <f>934000+H14</f>
        <v>1034000</v>
      </c>
    </row>
    <row r="12" spans="1:8" ht="19.5" customHeight="1">
      <c r="A12" s="42">
        <v>900</v>
      </c>
      <c r="B12" s="389"/>
      <c r="C12" s="43" t="s">
        <v>11</v>
      </c>
      <c r="D12" s="414">
        <f>SUM(E12:H12)</f>
        <v>3566000</v>
      </c>
      <c r="E12" s="325">
        <f t="shared" si="0"/>
        <v>844000</v>
      </c>
      <c r="F12" s="325">
        <f t="shared" si="0"/>
        <v>844000</v>
      </c>
      <c r="G12" s="325">
        <f t="shared" si="0"/>
        <v>844000</v>
      </c>
      <c r="H12" s="325">
        <f>934000+H14</f>
        <v>1034000</v>
      </c>
    </row>
    <row r="13" spans="1:8" ht="19.5" customHeight="1">
      <c r="A13" s="411"/>
      <c r="B13" s="401">
        <v>90011</v>
      </c>
      <c r="C13" s="412" t="s">
        <v>29</v>
      </c>
      <c r="D13" s="326">
        <f>SUM(E13:H13)</f>
        <v>3466000</v>
      </c>
      <c r="E13" s="326">
        <f>844000</f>
        <v>844000</v>
      </c>
      <c r="F13" s="326">
        <f>844000</f>
        <v>844000</v>
      </c>
      <c r="G13" s="326">
        <v>844000</v>
      </c>
      <c r="H13" s="326">
        <v>934000</v>
      </c>
    </row>
    <row r="14" spans="1:8" ht="19.5" customHeight="1">
      <c r="A14" s="8"/>
      <c r="B14" s="19"/>
      <c r="C14" s="19"/>
      <c r="D14" s="156">
        <f>SUM(E14:H14)</f>
        <v>100000</v>
      </c>
      <c r="E14" s="10"/>
      <c r="F14" s="10"/>
      <c r="G14" s="10"/>
      <c r="H14" s="10">
        <v>100000</v>
      </c>
    </row>
    <row r="15" spans="1:8" ht="19.5" customHeight="1" thickBot="1">
      <c r="A15" s="401"/>
      <c r="B15" s="401"/>
      <c r="C15" s="402" t="s">
        <v>39</v>
      </c>
      <c r="D15" s="403">
        <f aca="true" t="shared" si="1" ref="D15:D24">SUM(E15:H15)</f>
        <v>4120000</v>
      </c>
      <c r="E15" s="404">
        <v>531310</v>
      </c>
      <c r="F15" s="404">
        <f>667987+F20+F24</f>
        <v>487987</v>
      </c>
      <c r="G15" s="404">
        <f>1590703+G24</f>
        <v>1690703</v>
      </c>
      <c r="H15" s="404">
        <f>1100000+H24</f>
        <v>1410000</v>
      </c>
    </row>
    <row r="16" spans="1:8" ht="19.5" customHeight="1" thickTop="1">
      <c r="A16" s="401"/>
      <c r="B16" s="401"/>
      <c r="C16" s="405" t="s">
        <v>98</v>
      </c>
      <c r="D16" s="406">
        <f t="shared" si="1"/>
        <v>4100000</v>
      </c>
      <c r="E16" s="407">
        <v>511310</v>
      </c>
      <c r="F16" s="407">
        <f>667987+F20+F24</f>
        <v>487987</v>
      </c>
      <c r="G16" s="407">
        <f>1590703+G24</f>
        <v>1690703</v>
      </c>
      <c r="H16" s="407">
        <f>1100000+H24</f>
        <v>1410000</v>
      </c>
    </row>
    <row r="17" spans="1:8" ht="19.5" customHeight="1">
      <c r="A17" s="19"/>
      <c r="B17" s="19"/>
      <c r="C17" s="408" t="s">
        <v>164</v>
      </c>
      <c r="D17" s="409">
        <f t="shared" si="1"/>
        <v>1810000</v>
      </c>
      <c r="E17" s="410">
        <f>90000</f>
        <v>90000</v>
      </c>
      <c r="F17" s="410">
        <f>326000+F20</f>
        <v>246000</v>
      </c>
      <c r="G17" s="410">
        <f>544000</f>
        <v>544000</v>
      </c>
      <c r="H17" s="410">
        <f>930000</f>
        <v>930000</v>
      </c>
    </row>
    <row r="18" spans="1:8" ht="19.5" customHeight="1">
      <c r="A18" s="42">
        <v>900</v>
      </c>
      <c r="B18" s="389"/>
      <c r="C18" s="43" t="s">
        <v>11</v>
      </c>
      <c r="D18" s="390">
        <f t="shared" si="1"/>
        <v>1810000</v>
      </c>
      <c r="E18" s="325">
        <f>90000</f>
        <v>90000</v>
      </c>
      <c r="F18" s="325">
        <f>326000+F20</f>
        <v>246000</v>
      </c>
      <c r="G18" s="325">
        <f>544000</f>
        <v>544000</v>
      </c>
      <c r="H18" s="325">
        <f>930000</f>
        <v>930000</v>
      </c>
    </row>
    <row r="19" spans="1:8" ht="19.5" customHeight="1">
      <c r="A19" s="411"/>
      <c r="B19" s="401">
        <v>90011</v>
      </c>
      <c r="C19" s="412" t="s">
        <v>29</v>
      </c>
      <c r="D19" s="326">
        <f t="shared" si="1"/>
        <v>1890000</v>
      </c>
      <c r="E19" s="326">
        <f>90000</f>
        <v>90000</v>
      </c>
      <c r="F19" s="326">
        <v>326000</v>
      </c>
      <c r="G19" s="326">
        <v>544000</v>
      </c>
      <c r="H19" s="326">
        <v>930000</v>
      </c>
    </row>
    <row r="20" spans="1:8" ht="19.5" customHeight="1">
      <c r="A20" s="8"/>
      <c r="B20" s="19"/>
      <c r="C20" s="19"/>
      <c r="D20" s="156">
        <f t="shared" si="1"/>
        <v>-80000</v>
      </c>
      <c r="E20" s="10"/>
      <c r="F20" s="10">
        <v>-80000</v>
      </c>
      <c r="G20" s="10"/>
      <c r="H20" s="218"/>
    </row>
    <row r="21" spans="1:8" ht="19.5" customHeight="1">
      <c r="A21" s="19"/>
      <c r="B21" s="19"/>
      <c r="C21" s="408" t="s">
        <v>165</v>
      </c>
      <c r="D21" s="409">
        <f t="shared" si="1"/>
        <v>410000</v>
      </c>
      <c r="E21" s="410"/>
      <c r="F21" s="410">
        <f>100000+F24</f>
        <v>0</v>
      </c>
      <c r="G21" s="410">
        <f>G24</f>
        <v>100000</v>
      </c>
      <c r="H21" s="410">
        <f>H24</f>
        <v>310000</v>
      </c>
    </row>
    <row r="22" spans="1:8" ht="19.5" customHeight="1">
      <c r="A22" s="42">
        <v>900</v>
      </c>
      <c r="B22" s="389"/>
      <c r="C22" s="43" t="s">
        <v>11</v>
      </c>
      <c r="D22" s="390">
        <f t="shared" si="1"/>
        <v>410000</v>
      </c>
      <c r="E22" s="325"/>
      <c r="F22" s="325">
        <f>100000+F24</f>
        <v>0</v>
      </c>
      <c r="G22" s="325">
        <f>G24</f>
        <v>100000</v>
      </c>
      <c r="H22" s="325">
        <f>H24</f>
        <v>310000</v>
      </c>
    </row>
    <row r="23" spans="1:8" ht="19.5" customHeight="1">
      <c r="A23" s="411"/>
      <c r="B23" s="401">
        <v>90011</v>
      </c>
      <c r="C23" s="412" t="s">
        <v>29</v>
      </c>
      <c r="D23" s="326">
        <f t="shared" si="1"/>
        <v>100000</v>
      </c>
      <c r="E23" s="326"/>
      <c r="F23" s="326">
        <v>100000</v>
      </c>
      <c r="G23" s="326"/>
      <c r="H23" s="326"/>
    </row>
    <row r="24" spans="1:8" ht="19.5" customHeight="1">
      <c r="A24" s="19"/>
      <c r="B24" s="19"/>
      <c r="C24" s="19"/>
      <c r="D24" s="156">
        <f t="shared" si="1"/>
        <v>310000</v>
      </c>
      <c r="E24" s="10"/>
      <c r="F24" s="10">
        <v>-100000</v>
      </c>
      <c r="G24" s="10">
        <v>100000</v>
      </c>
      <c r="H24" s="10">
        <v>310000</v>
      </c>
    </row>
    <row r="27" ht="51">
      <c r="G27" s="432" t="s">
        <v>168</v>
      </c>
    </row>
  </sheetData>
  <mergeCells count="3">
    <mergeCell ref="A2:E2"/>
    <mergeCell ref="A3:E3"/>
    <mergeCell ref="A4:E4"/>
  </mergeCells>
  <printOptions horizontalCentered="1"/>
  <pageMargins left="0.5905511811023623" right="0.5905511811023623" top="0.6692913385826772" bottom="0.5905511811023623" header="0.5118110236220472" footer="0.3937007874015748"/>
  <pageSetup firstPageNumber="18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2003-09-12T08:56:20Z</cp:lastPrinted>
  <dcterms:created xsi:type="dcterms:W3CDTF">2001-01-24T06:53:28Z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