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firstSheet="7" activeTab="11"/>
  </bookViews>
  <sheets>
    <sheet name="doch RM" sheetId="1" r:id="rId1"/>
    <sheet name="wyd RM" sheetId="2" r:id="rId2"/>
    <sheet name="inwest" sheetId="3" r:id="rId3"/>
    <sheet name="remonty" sheetId="4" r:id="rId4"/>
    <sheet name="dotacje" sheetId="5" r:id="rId5"/>
    <sheet name="zlecRM" sheetId="6" r:id="rId6"/>
    <sheet name="doch Pr" sheetId="7" r:id="rId7"/>
    <sheet name="Wyd Pr" sheetId="8" r:id="rId8"/>
    <sheet name="jednostki" sheetId="9" r:id="rId9"/>
    <sheet name="Szkoły" sheetId="10" r:id="rId10"/>
    <sheet name="zlec Pr" sheetId="11" r:id="rId11"/>
    <sheet name="Doch-harm" sheetId="12" r:id="rId12"/>
    <sheet name="Wyd-harm" sheetId="13" r:id="rId13"/>
  </sheets>
  <definedNames>
    <definedName name="_xlnm.Print_Titles" localSheetId="6">'doch Pr'!$7:$7</definedName>
    <definedName name="_xlnm.Print_Titles" localSheetId="0">'doch RM'!$7:$7</definedName>
    <definedName name="_xlnm.Print_Titles" localSheetId="11">'Doch-harm'!$8:$8</definedName>
    <definedName name="_xlnm.Print_Titles" localSheetId="2">'inwest'!$6:$8</definedName>
    <definedName name="_xlnm.Print_Titles" localSheetId="8">'jednostki'!$9:$9</definedName>
    <definedName name="_xlnm.Print_Titles" localSheetId="3">'remonty'!$9:$9</definedName>
    <definedName name="_xlnm.Print_Titles" localSheetId="9">'Szkoły'!$4:$10</definedName>
    <definedName name="_xlnm.Print_Titles" localSheetId="7">'Wyd Pr'!$7:$7</definedName>
    <definedName name="_xlnm.Print_Titles" localSheetId="1">'wyd RM'!$7:$7</definedName>
    <definedName name="_xlnm.Print_Titles" localSheetId="12">'Wyd-harm'!$9:$9</definedName>
    <definedName name="_xlnm.Print_Titles" localSheetId="10">'zlec Pr'!$9:$9</definedName>
    <definedName name="_xlnm.Print_Titles" localSheetId="5">'zlecRM'!$9:$9</definedName>
  </definedNames>
  <calcPr fullCalcOnLoad="1"/>
</workbook>
</file>

<file path=xl/sharedStrings.xml><?xml version="1.0" encoding="utf-8"?>
<sst xmlns="http://schemas.openxmlformats.org/spreadsheetml/2006/main" count="1667" uniqueCount="835">
  <si>
    <t>Dział 854 - Edukacyjna opieka wychowawcza</t>
  </si>
  <si>
    <t>Przedszkole Specjalne nr 11</t>
  </si>
  <si>
    <t>Zespół Poradni nr 1</t>
  </si>
  <si>
    <t>Zespół Poradni nr 2</t>
  </si>
  <si>
    <t>Zespół Poradni nr 3</t>
  </si>
  <si>
    <t>Poradnia Psychologiczno-Pedagogiczna nr 1</t>
  </si>
  <si>
    <t>Poradnia Psychologiczno-Pedagogiczna nr 3</t>
  </si>
  <si>
    <t>Młodzieżowy Dom Kultury nr 2</t>
  </si>
  <si>
    <t>rozdz. 85410 -  Internaty i bursy szkolne</t>
  </si>
  <si>
    <t>Bursa Szkolna nr 1</t>
  </si>
  <si>
    <t>Bursa Szkolna nr 2</t>
  </si>
  <si>
    <t>Bursa Szkolna nr 3</t>
  </si>
  <si>
    <t>Bursa Szkolna nr 5</t>
  </si>
  <si>
    <t>IZSEl</t>
  </si>
  <si>
    <t>ILCEZ</t>
  </si>
  <si>
    <t>rozdz. 85417 - Szkolne schroniska młodzieżowe</t>
  </si>
  <si>
    <t>SSM</t>
  </si>
  <si>
    <t>Szkolne Schronisko Młodzieżowe</t>
  </si>
  <si>
    <t xml:space="preserve">Młodzieżowy Dom Kultury </t>
  </si>
  <si>
    <t>rozdz. 85495 -Pozostała działalność (Stołówki szkolne)</t>
  </si>
  <si>
    <t>j43</t>
  </si>
  <si>
    <t>j47</t>
  </si>
  <si>
    <t>85495e</t>
  </si>
  <si>
    <t>rozdz. 85495 - Pozostała działalność</t>
  </si>
  <si>
    <t>epp1</t>
  </si>
  <si>
    <t>epp2</t>
  </si>
  <si>
    <t>ezp1</t>
  </si>
  <si>
    <t>ezp2</t>
  </si>
  <si>
    <t>ezp3</t>
  </si>
  <si>
    <t>eb1</t>
  </si>
  <si>
    <t>eb2</t>
  </si>
  <si>
    <t>eb3</t>
  </si>
  <si>
    <t>eb5</t>
  </si>
  <si>
    <t>emzsb</t>
  </si>
  <si>
    <t xml:space="preserve">Zespół Szkół Budowlanych </t>
  </si>
  <si>
    <t>emzsel</t>
  </si>
  <si>
    <t xml:space="preserve">Zespół Szkół Elektronicznych </t>
  </si>
  <si>
    <t>emzsk</t>
  </si>
  <si>
    <t>emog</t>
  </si>
  <si>
    <t>emon</t>
  </si>
  <si>
    <t>emo1</t>
  </si>
  <si>
    <t>emo2</t>
  </si>
  <si>
    <t>emdk</t>
  </si>
  <si>
    <t>emdk2</t>
  </si>
  <si>
    <t>essm</t>
  </si>
  <si>
    <t>eps</t>
  </si>
  <si>
    <t>F2</t>
  </si>
  <si>
    <t>F3</t>
  </si>
  <si>
    <t>F4</t>
  </si>
  <si>
    <t>F5</t>
  </si>
  <si>
    <t>F6</t>
  </si>
  <si>
    <t>F7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</si>
  <si>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</si>
  <si>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</si>
  <si>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</si>
  <si>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</si>
  <si>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</si>
  <si>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</si>
  <si>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</si>
  <si>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</si>
  <si>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</si>
  <si>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</si>
  <si>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F20</t>
  </si>
  <si>
    <t>F21</t>
  </si>
  <si>
    <t>F22</t>
  </si>
  <si>
    <t>F23</t>
  </si>
  <si>
    <t>F24</t>
  </si>
  <si>
    <t>F25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</si>
  <si>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</si>
  <si>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</si>
  <si>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</si>
  <si>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</si>
  <si>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</si>
  <si>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</si>
  <si>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</si>
  <si>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</si>
  <si>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</si>
  <si>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</si>
  <si>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</si>
  <si>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</si>
  <si>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</si>
  <si>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</si>
  <si>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F42</t>
  </si>
  <si>
    <t>F43</t>
  </si>
  <si>
    <t>F44</t>
  </si>
  <si>
    <t>F45</t>
  </si>
  <si>
    <t>F46</t>
  </si>
  <si>
    <t>F47</t>
  </si>
  <si>
    <t>F48</t>
  </si>
  <si>
    <t>F50</t>
  </si>
  <si>
    <t>F51</t>
  </si>
  <si>
    <t>F52</t>
  </si>
  <si>
    <t>fg1</t>
  </si>
  <si>
    <t>fg2</t>
  </si>
  <si>
    <t>fg3</t>
  </si>
  <si>
    <t>fg6</t>
  </si>
  <si>
    <t>fg7</t>
  </si>
  <si>
    <t>fg8</t>
  </si>
  <si>
    <t>fg10</t>
  </si>
  <si>
    <t>fg11</t>
  </si>
  <si>
    <t>fg12</t>
  </si>
  <si>
    <t>fg13</t>
  </si>
  <si>
    <t>fg14</t>
  </si>
  <si>
    <t>fg15</t>
  </si>
  <si>
    <t>fg16</t>
  </si>
  <si>
    <t>remontowych</t>
  </si>
  <si>
    <t>Gospodarstwa pomocnicze</t>
  </si>
  <si>
    <t>Specjalne ośrodki szkolno-wychowawcze</t>
  </si>
  <si>
    <t>Szkoły podstawowe specjalne</t>
  </si>
  <si>
    <t>Przedszkola przy szkołach podstawowych</t>
  </si>
  <si>
    <t>Gimnazja</t>
  </si>
  <si>
    <t>Gimnazja specjalne</t>
  </si>
  <si>
    <t>Dowożenie uczniów do szkół</t>
  </si>
  <si>
    <t>Licea ogólnokształcące specjalne</t>
  </si>
  <si>
    <t>Szkoły zawodowe specjalne</t>
  </si>
  <si>
    <t>Centra kształcenia ustawicznego i praktycznego oraz ośrodki dokształcania zawodowego</t>
  </si>
  <si>
    <t>Dokształcanie i doskonalenie nauczycieli</t>
  </si>
  <si>
    <t>Świetlice szkolne</t>
  </si>
  <si>
    <t>Przedszkola specjalne</t>
  </si>
  <si>
    <t>Poradnie psychologiczno-pedagogiczne, w tym poradnie specjalistyczne</t>
  </si>
  <si>
    <t>Placówki wychowania pozaszkolnego</t>
  </si>
  <si>
    <t>Pomoc materialna dla uczniów</t>
  </si>
  <si>
    <t>Kultura fizyczna i sport</t>
  </si>
  <si>
    <t>Pozostałe zadania w zakresie kultury fizycznej i sportu</t>
  </si>
  <si>
    <t>Programy polityki zdrowotnej</t>
  </si>
  <si>
    <t>Zwalczanie narkomanii</t>
  </si>
  <si>
    <t>Składki na ubezpieczenie zdrowotne oraz świadczenia dla osób nieobjętych obowiązkiem ubezpieczenia zdrowotnego</t>
  </si>
  <si>
    <t>Bezpieczeństwo publiczne i ochrona przeciwpożarowa</t>
  </si>
  <si>
    <t>Komendy powiatowe Policji</t>
  </si>
  <si>
    <t>dofinansowanie działań na rzecz utrzymania bezpieczeństwa w mieście - utworzenie Komisariatu IV w os. LSM</t>
  </si>
  <si>
    <t>system monitoringu w mieście</t>
  </si>
  <si>
    <t>1.7 Wydział Zarządzania Kryzysowego, Ochrony Ludności i Spraw Obronnych</t>
  </si>
  <si>
    <t>utworzenie Komisariatu IV w os. LSM</t>
  </si>
  <si>
    <t>Centrum Kształcenia Ustawicznego nr 1</t>
  </si>
  <si>
    <t>Centrum Kształcenia Ustawicznego nr 2</t>
  </si>
  <si>
    <t xml:space="preserve">rozdz. 85404 - Przedszkola </t>
  </si>
  <si>
    <t>Przedszkole Nr 3</t>
  </si>
  <si>
    <t>Przedszkole Nr 4</t>
  </si>
  <si>
    <t>Przedszkole Nr 7</t>
  </si>
  <si>
    <t>Przedszkole Nr 12</t>
  </si>
  <si>
    <t>Przedszkole Nr 15</t>
  </si>
  <si>
    <t>Przedszkole Nr 43</t>
  </si>
  <si>
    <t>Przedszkole Nr 44</t>
  </si>
  <si>
    <t>Przedszkole Nr 76</t>
  </si>
  <si>
    <t>Nagrody</t>
  </si>
  <si>
    <t>niezaliczone</t>
  </si>
  <si>
    <t>do wynagrodzeń</t>
  </si>
  <si>
    <t>Centrum Kształcenia Ustawicznego Nr 1</t>
  </si>
  <si>
    <t>Przedszkole Nr 2</t>
  </si>
  <si>
    <t>Przedszkole Nr 5</t>
  </si>
  <si>
    <t>Przedszkole Nr 6</t>
  </si>
  <si>
    <t>Przedszkole Nr 9</t>
  </si>
  <si>
    <t>Przedszkole Nr 10</t>
  </si>
  <si>
    <t>Przedszkole Nr 13</t>
  </si>
  <si>
    <t>Przedszkole Nr 14</t>
  </si>
  <si>
    <t>Przedszkole Nr 16</t>
  </si>
  <si>
    <t>Przedszkole Nr 18</t>
  </si>
  <si>
    <t>Przedszkole Nr 19</t>
  </si>
  <si>
    <t>Przedszkole Nr 22</t>
  </si>
  <si>
    <t>Przedszkole Nr 25</t>
  </si>
  <si>
    <t>Przedszkole Nr 26</t>
  </si>
  <si>
    <t>Przedszkole Nr 28</t>
  </si>
  <si>
    <t>Przedszkole Nr 31</t>
  </si>
  <si>
    <t>Przedszkole Nr 32</t>
  </si>
  <si>
    <t>Przedszkole Nr 33</t>
  </si>
  <si>
    <t>Przedszkole Nr 34</t>
  </si>
  <si>
    <t>Przedszkole Nr 35</t>
  </si>
  <si>
    <t>Przedszkole Nr 36</t>
  </si>
  <si>
    <t>Przedszkole Nr 37</t>
  </si>
  <si>
    <t>Przedszkole Nr 39</t>
  </si>
  <si>
    <t>Przedszkole Nr 40</t>
  </si>
  <si>
    <t>Przedszkole Nr 42</t>
  </si>
  <si>
    <t>Przedszkole Nr 45</t>
  </si>
  <si>
    <t>Przedszkole Nr 46</t>
  </si>
  <si>
    <t>Przedszkole Nr 47</t>
  </si>
  <si>
    <t>Przedszkole Nr 48</t>
  </si>
  <si>
    <t>Przedszkole Nr 49</t>
  </si>
  <si>
    <t>Przedszkole Nr 50</t>
  </si>
  <si>
    <t>Przedszkole Nr 52</t>
  </si>
  <si>
    <t>Przedszkole Nr 53</t>
  </si>
  <si>
    <t>Przedszkole Nr 54</t>
  </si>
  <si>
    <t>Przedszkole Nr 56</t>
  </si>
  <si>
    <t>Przedszkole Nr 57</t>
  </si>
  <si>
    <t>Przedszkole Nr 58</t>
  </si>
  <si>
    <t>Przedszkole Nr 59</t>
  </si>
  <si>
    <t>Przedszkole Nr 63</t>
  </si>
  <si>
    <t>Przedszkole Nr 64</t>
  </si>
  <si>
    <t>Przedszkole Nr 65</t>
  </si>
  <si>
    <t>Przedszkole Nr 66</t>
  </si>
  <si>
    <t>Przedszkole Nr 67</t>
  </si>
  <si>
    <t>Przedszkole Nr 70</t>
  </si>
  <si>
    <t>Przedszkole Nr 72</t>
  </si>
  <si>
    <t>Przedszkole Nr 73</t>
  </si>
  <si>
    <t>Przedszkole Nr 75</t>
  </si>
  <si>
    <t>Przedszkole Nr 77</t>
  </si>
  <si>
    <t>Przedszkole Nr 78</t>
  </si>
  <si>
    <t>Przedszkole Nr 79</t>
  </si>
  <si>
    <t>Przedszkole Nr 81</t>
  </si>
  <si>
    <t>Przedszkole Nr 83</t>
  </si>
  <si>
    <t>inwestycje - budowa muszli koncertowej</t>
  </si>
  <si>
    <t>Gospodarka ściekowa i ochrona wód</t>
  </si>
  <si>
    <t>remonty domów pomocy społecznej</t>
  </si>
  <si>
    <t>budowa muszli koncertowej</t>
  </si>
  <si>
    <t>Zakup usług remontowych - remont obiektu</t>
  </si>
  <si>
    <t>Domy pomocy społecznej</t>
  </si>
  <si>
    <t>Dotacje celowe otrzymane z budżetu państwa na realizację bieżących zadań własnych powiatu</t>
  </si>
  <si>
    <t>Komisje egzaminacyjne</t>
  </si>
  <si>
    <t>koszty funkcjonowania komisji egzaminacyjnych</t>
  </si>
  <si>
    <t xml:space="preserve"> </t>
  </si>
  <si>
    <t>Nazwa działu, rozdziału, zadania</t>
  </si>
  <si>
    <t>Przeznaczenie dotacji                                   (cel publiczny)</t>
  </si>
  <si>
    <t>pochodne od wynagrodzeń</t>
  </si>
  <si>
    <t>Wydatki na zakupy inwestycyjne jednostek budżetowych</t>
  </si>
  <si>
    <t>zakupy inwestycyjne</t>
  </si>
  <si>
    <t>Zmniejszenie</t>
  </si>
  <si>
    <t>Zwiększenie</t>
  </si>
  <si>
    <t>Opieka społeczna</t>
  </si>
  <si>
    <t>Plan</t>
  </si>
  <si>
    <t>Dział</t>
  </si>
  <si>
    <t>I kwartał</t>
  </si>
  <si>
    <t>II kwartał</t>
  </si>
  <si>
    <t>III kwartał</t>
  </si>
  <si>
    <t>IV kwartał</t>
  </si>
  <si>
    <t>Wydatki ogółem</t>
  </si>
  <si>
    <t>z tego:</t>
  </si>
  <si>
    <t>Załącznik Nr 2</t>
  </si>
  <si>
    <t>Dochody</t>
  </si>
  <si>
    <t>Plan po zmianach</t>
  </si>
  <si>
    <t>Dochody budżetu miasta ogółem</t>
  </si>
  <si>
    <t>Dochody własne</t>
  </si>
  <si>
    <t>Subwencje</t>
  </si>
  <si>
    <t>Dotacje celowe i inne środki na zadania własne</t>
  </si>
  <si>
    <t xml:space="preserve">Dotacje celowe z budżetu państwa na zadania zlecone z zakresu administracji rządowej </t>
  </si>
  <si>
    <t>II. Dochody powiatu ogółem, z tego:</t>
  </si>
  <si>
    <t>I Dochody gminy ogółem, z tego:</t>
  </si>
  <si>
    <t>Pozostała działalność</t>
  </si>
  <si>
    <t>Dotacje celowe na zadania realizowane w drodze porozumień i umów</t>
  </si>
  <si>
    <t>Wydatki</t>
  </si>
  <si>
    <t>Wydatki                                                                                                                               (Nazwa działu, rozdziału, zadania, paragrafu)</t>
  </si>
  <si>
    <t>Świadczenia społeczne</t>
  </si>
  <si>
    <t xml:space="preserve">Wydatki na zadania zlecone </t>
  </si>
  <si>
    <t>1.1 Wydział Finansowy</t>
  </si>
  <si>
    <t>Załącznik Nr 4</t>
  </si>
  <si>
    <t xml:space="preserve">Rozdz. </t>
  </si>
  <si>
    <t>Dochody ogółem</t>
  </si>
  <si>
    <t>Dochody gminy, z tego:</t>
  </si>
  <si>
    <t>Prezydenta Miasta Lublin</t>
  </si>
  <si>
    <t>Załącznik Nr 1</t>
  </si>
  <si>
    <t>Załącznik Nr 3</t>
  </si>
  <si>
    <t>Harmonogram realizacji wydatków budżetu miasta w 2003 roku</t>
  </si>
  <si>
    <t>1. Urząd Miasta</t>
  </si>
  <si>
    <t>Kultura i ochrona dziedzictwa narodowego</t>
  </si>
  <si>
    <t>Pozostałe zadania w zakresie kultury</t>
  </si>
  <si>
    <t>Referenda ogólnokrajowe i konstytucyjne</t>
  </si>
  <si>
    <t>1.3 Wydział Organizacyjny</t>
  </si>
  <si>
    <t>1.4  Wydział Oświaty i Wychowania</t>
  </si>
  <si>
    <t>1.5  Wydział Spraw Społecznych</t>
  </si>
  <si>
    <t>1.6  Wydział Strategii i Rozwoju</t>
  </si>
  <si>
    <t xml:space="preserve">Dotacje celowe z budżetu państwa na zadania z zakresu administracji rządowej </t>
  </si>
  <si>
    <t>Urzędy naczelnych organów władzy państwowej, kontroli i ochrony prawa oraz sądownictwa</t>
  </si>
  <si>
    <t xml:space="preserve">Wydatki na zadania własne </t>
  </si>
  <si>
    <t>Placówki opiekuńczo-wychowawcze</t>
  </si>
  <si>
    <t>Oświata i wychowanie</t>
  </si>
  <si>
    <t>Załącznik Nr 8</t>
  </si>
  <si>
    <t>Wydatki na zadania realizowane na podstawie porozumień i umów</t>
  </si>
  <si>
    <t>Wydatki majątkowe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</si>
  <si>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</si>
  <si>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</si>
  <si>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</si>
  <si>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</si>
  <si>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</si>
  <si>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Zmiany</t>
  </si>
  <si>
    <t>inwestycji po zmianach</t>
  </si>
  <si>
    <t>Ogółem wydatki majątkowe</t>
  </si>
  <si>
    <t>inwestycje</t>
  </si>
  <si>
    <t>Wydatki na zadania zlecone</t>
  </si>
  <si>
    <t>Remonty</t>
  </si>
  <si>
    <t xml:space="preserve">Nazwa: działu, rozdziału, zadania </t>
  </si>
  <si>
    <t>Ogółem remonty</t>
  </si>
  <si>
    <t>Zadania własne</t>
  </si>
  <si>
    <t>Edukacyjna opieka wychowawcza</t>
  </si>
  <si>
    <t>Zadania z zakresu administracji rządowej wykonywane przez powiat</t>
  </si>
  <si>
    <t xml:space="preserve">Plan według uchwały    
Nr 27/III/2003                              
Rady Miasta Lublin
z 30.01.2003 r. 
z późn. zm.    </t>
  </si>
  <si>
    <t xml:space="preserve">Plan według uchwały    
Nr 27/III/2003                              
Rady Miasta Lublin
z 30.01.2003 r.
z późn. zm.    </t>
  </si>
  <si>
    <t xml:space="preserve">Plan według uchwały    
Nr 27/III/2003                              
Rady Miasta Lublin
z 30.01.2003 r.
z późn. zm.                      </t>
  </si>
  <si>
    <t>Załącznik Nr 10</t>
  </si>
  <si>
    <t>Harmonogram realizacji dochodów budżetu miasta w 2003 roku</t>
  </si>
  <si>
    <t>Dochody powiatu, z tego:</t>
  </si>
  <si>
    <t>Dotacje celowe z budżetu państwa na zadania z zakresu administracji rządowej</t>
  </si>
  <si>
    <t>Różne rozliczenia</t>
  </si>
  <si>
    <t>Rezerwy ogólne i celowe</t>
  </si>
  <si>
    <t>Wydatki na zadania ustawowo zlecone gminie</t>
  </si>
  <si>
    <t>Wydatki na zadania z zakresu administracji rządowej wykonywane przez powiat</t>
  </si>
  <si>
    <t>Podział planowanych dochodów i wydatków budżetu miasta na 2003 rok</t>
  </si>
  <si>
    <t xml:space="preserve">            według jednostek organizacyjnych realizujących budżet</t>
  </si>
  <si>
    <t xml:space="preserve">Treść   </t>
  </si>
  <si>
    <t xml:space="preserve">Rozdz.      </t>
  </si>
  <si>
    <t>I Dochody gminy ogółem, w tym:</t>
  </si>
  <si>
    <t>II. Dochody powiatu ogółem, w tym:</t>
  </si>
  <si>
    <t>Dotacje celowe otrzymane z budżetu państwa na zadania bieżące z zakresu administracji rządowej oraz inne zadania zlecone ustawami realizowane przez powiat</t>
  </si>
  <si>
    <t>rezerwa budżetowa</t>
  </si>
  <si>
    <t xml:space="preserve">Rezerwy </t>
  </si>
  <si>
    <t>Zakup materiałów i wyposażenia</t>
  </si>
  <si>
    <t>Wydatki inwestycyjne jednostek budżetowych</t>
  </si>
  <si>
    <t>wydatki rzeczowe</t>
  </si>
  <si>
    <t>Odpisy na zakładowy fundusz świadczeń socjalnych</t>
  </si>
  <si>
    <t>wynagrodzenia osobowe</t>
  </si>
  <si>
    <t>Załącznik Nr 6</t>
  </si>
  <si>
    <t>Załącznik Nr 5</t>
  </si>
  <si>
    <t>Plan finansowy zadań z zakresu administracji rządowej i innych zadań zleconych ustawami</t>
  </si>
  <si>
    <t xml:space="preserve"> oraz plan dochodów, które podlegają przekazaniu do budżetu państwa</t>
  </si>
  <si>
    <t xml:space="preserve"> związanych z realizacją powyższych zadań na 2003 rok</t>
  </si>
  <si>
    <t>Plan dochodów 
po zmianach</t>
  </si>
  <si>
    <t>Plan wydatków 
po zmianach</t>
  </si>
  <si>
    <t xml:space="preserve">Zmniejszenie </t>
  </si>
  <si>
    <t>Zadania zlecone ogółem</t>
  </si>
  <si>
    <t xml:space="preserve">Dotacje celowe z budżetu państwa na finansowanie zadań 
z zakresu administracji rządowej wykonywanych przez powiat </t>
  </si>
  <si>
    <t>Dochody budżetu państwa związane z realizacją zadań zlecanych jednostkom samorządu terytorialnego</t>
  </si>
  <si>
    <t xml:space="preserve">Dochody
według uchwały    
Nr 27/III/2003                              
Rady Miasta Lublin
z 30.01.2003 r.
z późn. zm.   </t>
  </si>
  <si>
    <t>Wydatki
według uchwały    
Nr 27/III/2003                              
Rady Miasta Lublin
z 30.01.2003 r.
z późn. zm.</t>
  </si>
  <si>
    <t>Załącznik Nr 7</t>
  </si>
  <si>
    <t>Załącznik Nr 9</t>
  </si>
  <si>
    <t>upowszechnianie kultury i sztuki, w tym:</t>
  </si>
  <si>
    <t>wydatki związane z finansowaniem części wyprawki szkolnej</t>
  </si>
  <si>
    <t>inwestycje, w tym:</t>
  </si>
  <si>
    <t>dotacja celowa z budżetu państwa na sfinansowanie części wyprawki szkolnej</t>
  </si>
  <si>
    <t xml:space="preserve">Dotacje celowe otrzymane z budżetu państwa na realizację zadań bieżących z zakresu administracji rządowej oraz innych zadań zleconych gminie ustawami   </t>
  </si>
  <si>
    <t>Zadania ustawowo zlecone gminie</t>
  </si>
  <si>
    <t>Dz.</t>
  </si>
  <si>
    <t>Rozdz.</t>
  </si>
  <si>
    <t>§</t>
  </si>
  <si>
    <t>Treść</t>
  </si>
  <si>
    <t>w złotych</t>
  </si>
  <si>
    <t>Ogółem</t>
  </si>
  <si>
    <t>Wydatki na zadania własne</t>
  </si>
  <si>
    <t xml:space="preserve">Dotacje celowe otrzymane z budżetu państwa na realizację własnych zadań bieżących gmin   </t>
  </si>
  <si>
    <t>Zakup usług pozostałych</t>
  </si>
  <si>
    <t>Ochrona zdrowia</t>
  </si>
  <si>
    <t>Składki na ubezpieczenia społeczne</t>
  </si>
  <si>
    <t>Składki na Fundusz Pracy</t>
  </si>
  <si>
    <t>Dochody                                                                                                                                            (Nazwa działu, rozdziału, źródła dochodów, paragrafu)</t>
  </si>
  <si>
    <t>Załącznik Nr 11</t>
  </si>
  <si>
    <t>koszty przygotowania i przeprowadzenia referendum akcesyjnego</t>
  </si>
  <si>
    <t>dotacje dla niepublicznych placówek opiekuńczo-wychowawczych</t>
  </si>
  <si>
    <t>Dotacja podmiotowa z budżetu dla jednostek niezaliczanych do sektora finansów publicznych</t>
  </si>
  <si>
    <t>inwestycje - zakupy inwestycyjne</t>
  </si>
  <si>
    <t>(Nazwa działu, rozdziału, zadania, paragrafu)</t>
  </si>
  <si>
    <t>Treść                                                                                                                   (Nazwa działu, rozdziału)</t>
  </si>
  <si>
    <t xml:space="preserve">Dotacje celowe z budżetu państwa na zadania zlecone 
z zakresu administracji rządowej </t>
  </si>
  <si>
    <t>(Nazwa działu, rozdziału)</t>
  </si>
  <si>
    <t>Wydatki na zadania realizowane na podstawie
 porozumień  i umów</t>
  </si>
  <si>
    <t xml:space="preserve">Gospodarka komunalna i ochrona środowiska </t>
  </si>
  <si>
    <t>Oświetlenie ulic, placów i dróg</t>
  </si>
  <si>
    <t>Gospodarka komunalna i ochrona środowiska</t>
  </si>
  <si>
    <t>Załącznik Nr 12</t>
  </si>
  <si>
    <t>2. Dom Dziecka Nr 2</t>
  </si>
  <si>
    <t>Dochody                                                                                                                                            (Nazwa działu, rozdziału, źródła dochodów)</t>
  </si>
  <si>
    <t>Plan dotacji             
po zmianach</t>
  </si>
  <si>
    <t>Zakup usług remontowych - remonty obiektów</t>
  </si>
  <si>
    <t>Przeciwdziałanie alkoholizmowi</t>
  </si>
  <si>
    <t>Wykaz zadań miasta realizowanych przez podmioty niezaliczone do sektora</t>
  </si>
  <si>
    <t>finansów publicznych na podstawie odrębnych przepisów</t>
  </si>
  <si>
    <t>remonty obiektów</t>
  </si>
  <si>
    <t>Zakup usług remontowych - remonty domów pomocy społecznej</t>
  </si>
  <si>
    <t>Dotacje celowe z budżetu państwa na zadania zlecone z zakresu administracji rządowej</t>
  </si>
  <si>
    <t xml:space="preserve">do Zarządzenia Nr </t>
  </si>
  <si>
    <t>z dnia        lipca 2003 roku</t>
  </si>
  <si>
    <t>Fundacja Ruchu Solidarności Rodzin, ul. Królewska 3, 20-109 Lublin; Świetlica Środowiskowa przy Parafii Dobrego Pasterza przy ul. Radzyńskiej 3</t>
  </si>
  <si>
    <t>Stowarzyszenie Rodzin Katolickich Archidiecezji Lubelskiej, ul. Zielona 3, 20-082 Lublin; Świetlica Środowiskowa przy Parafii Dobrego Pasterza przy ul. Radzyńskiej 3</t>
  </si>
  <si>
    <t>Stowarzyszenie „Nasz Felin”, ul. Jagiełły 6/45, 20-282 Lublin; Świetlica Opiekuńczo-Wychowawcza</t>
  </si>
  <si>
    <t>środki w dyspozycji MOPR</t>
  </si>
  <si>
    <t>Administracja publiczna</t>
  </si>
  <si>
    <t>Urzędy miast i miast na prawach powiatu</t>
  </si>
  <si>
    <t>pozostałe zadania w zakresie upowszechniania kultury i sztuki</t>
  </si>
  <si>
    <t>stypendia dla młodzieży szkół artystycznych</t>
  </si>
  <si>
    <t>Stypendia oraz inne formy pomocy dla uczniów</t>
  </si>
  <si>
    <t>nagroda artystyczna</t>
  </si>
  <si>
    <t>Nagrody i wydatki osobowe niezaliczone do wynagrodzeń</t>
  </si>
  <si>
    <t>Zespoły do spraw orzekania o stopniu niepełnosprawności</t>
  </si>
  <si>
    <t>wydatki związane z promocją miasta</t>
  </si>
  <si>
    <t>Podróże służbowe krajowe</t>
  </si>
  <si>
    <t>Podróże służbowe zagraniczne</t>
  </si>
  <si>
    <t>prowadzenie profilaktycznej działalności informacyjnej 
i edukacyjnej, w szczególności dla dzieci i młodzieży</t>
  </si>
  <si>
    <t>zadania realizowane w ramach Gminnego Programu Profilaktyki i Rozwiązywania Problemów Alkoholowych, z tego:</t>
  </si>
  <si>
    <t>prowadzenie profilaktycznej działalności informacyjnej i edukacyjnej, w szczególności dla dzieci i młodzieży</t>
  </si>
  <si>
    <t>Szkoła Podstawowa Nr 28</t>
  </si>
  <si>
    <t>pokrycie kosztów obsługi realizowanych zadań</t>
  </si>
  <si>
    <t>eksploatacja bieżąca i konserwacja kanalizacji deszczowej</t>
  </si>
  <si>
    <t>remonty kanalizacji deszczowej</t>
  </si>
  <si>
    <t>Zakup usług remontowych - remonty kanalizacji deszczowej</t>
  </si>
  <si>
    <t>900</t>
  </si>
  <si>
    <t>wydatki związane z oświetleniem dróg krajowych, wojewódzkich i powiatowych</t>
  </si>
  <si>
    <t>Zakup energii</t>
  </si>
  <si>
    <t>wspomaganie działalności instytucji, stowarzyszeń i osób fizycznych, służącej rozwiązywaniu problemów alkoholowych</t>
  </si>
  <si>
    <t>zadania realizowane w ramach Gminnego Programu Profilaktyki i Rozwiązywania Problemów Alkoholowych, w tym:</t>
  </si>
  <si>
    <t>inwestycje - budowa boisk</t>
  </si>
  <si>
    <t xml:space="preserve">Wydatki inwestycyjne jednostek budżetowych </t>
  </si>
  <si>
    <t>Zespoły do spraw orzekania o niepełnosprawności</t>
  </si>
  <si>
    <t>dotacja celowa z budżetu państwa na utrzymanie zespołu ds. orzekania o niepełnosprawności</t>
  </si>
  <si>
    <t>wydatki związane z utrzymaniem zespołu do spraw orzekania o niepełnosprawności</t>
  </si>
  <si>
    <t>85321</t>
  </si>
  <si>
    <t>Rodziny zastępcze</t>
  </si>
  <si>
    <t>dotacja celowa z budżetu państwa na pomoc finansową dla dzieci umieszczonych w rodzinach zastępczych</t>
  </si>
  <si>
    <t>świadczenia społeczne</t>
  </si>
  <si>
    <t>85304</t>
  </si>
  <si>
    <t>dotacja celowa z budżetu państwa na sfinansowanie zakładowego funduszu świadczeń socjalnych dla nauczycieli</t>
  </si>
  <si>
    <t>dotacja celowa z budżetu państwa na sfinansowanie zakładowego funduszu świadczeń socjalnych dla nauczycieli emerytów i rencistów</t>
  </si>
  <si>
    <t xml:space="preserve">zakładowy fundusz świadczeń socjalnych dla nauczycieli emerytów i rencistów </t>
  </si>
  <si>
    <t>Składki na ubezpieczenie zdrowotne opłacane za osoby pobierające niektóre świadczenia z pomocy społecznej</t>
  </si>
  <si>
    <t xml:space="preserve">dotacja celowa z budżetu państwa na składki na ubezpieczenie zdrowotne opłacane za osoby pobierające świadczenia z pomocy społecznej </t>
  </si>
  <si>
    <t>Dotacje celowe otrzymane z budżetu państwa na realizację zadań bieżących z zakresu administracji rządowej oraz innych zadań zleconych gminie ustawami</t>
  </si>
  <si>
    <t>Zasiłki i pomoc w naturze oraz składki na ubezpieczenia społeczne</t>
  </si>
  <si>
    <t xml:space="preserve">dotacja celowa z budżetu państwa na zasiłki i pomoc w naturze oraz na składki na ubezpieczenia społeczne </t>
  </si>
  <si>
    <t>składki na ubezpieczenie zdrowotne osób korzystających ze świadczeń pomocy społecznej</t>
  </si>
  <si>
    <t>Składki na ubezpieczenie zdrowotne</t>
  </si>
  <si>
    <t>Działalność usługowa</t>
  </si>
  <si>
    <t>Opracowania geodezyjne i kartograficzne</t>
  </si>
  <si>
    <t>regulacja stanów geodezyjno - prawnych nieruchomości, opracowania geodezyjne</t>
  </si>
  <si>
    <t>Wydatki na zakup i objęcie akcji oraz wniesienie wkładów do spółek prawa handlowego</t>
  </si>
  <si>
    <t>1.2 Wydział Geodezji i Gospodarki Nieruchomościami</t>
  </si>
  <si>
    <t>1.3 Wydział Gospodarki Komunalnej</t>
  </si>
  <si>
    <t>§ 3020</t>
  </si>
  <si>
    <t>§ 4210</t>
  </si>
  <si>
    <t>§ 4260</t>
  </si>
  <si>
    <t>§ 4270</t>
  </si>
  <si>
    <t>§ 4300</t>
  </si>
  <si>
    <t>§ 6050</t>
  </si>
  <si>
    <t>§ 6060</t>
  </si>
  <si>
    <t xml:space="preserve">Przedszkola </t>
  </si>
  <si>
    <t>Przedszkola</t>
  </si>
  <si>
    <t>1.4 Wydział Organizacyjny</t>
  </si>
  <si>
    <t>1.5 Wydział Oświaty i Wychowania</t>
  </si>
  <si>
    <t>1.6 Wydział Spraw Społecznych</t>
  </si>
  <si>
    <t>1.7 Wydział Strategii i Rozwoju</t>
  </si>
  <si>
    <t>1.8 Wydział Zarządzania Kryzysowego, Ochrony Ludności i Spraw Obronnych</t>
  </si>
  <si>
    <t>1.9. Biuro Promocji Miasta</t>
  </si>
  <si>
    <t>2. Dom Pomocy Społecznej dla Osób Niepełnosprawnych Fizycznie</t>
  </si>
  <si>
    <t xml:space="preserve">3. Miejski Ośrodek Pomocy Rodzinie </t>
  </si>
  <si>
    <t>4. Szkoła Muzyczna I i II stopnia im. T. Szeligowskiego</t>
  </si>
  <si>
    <t>5. Szkoły i placówki oświatowe</t>
  </si>
  <si>
    <t>dotacja na sfinansowanie zakładowego funduszu świadczeń socjalnych dla nauczycieli emerytów i rencistów</t>
  </si>
  <si>
    <t>świadczenia socjalne dla nauczycieli emerytów i rencistów</t>
  </si>
  <si>
    <t>Dotacje podmiotowe z budżetu dla publicznej jednostki oświaty prowadzonej przez osobę prawną inną niż jednostka samorządu terytorialnego oraz przez osobę fizyczną</t>
  </si>
  <si>
    <t>XXI Liceum Ogólnokształcące im. św. St. Kostki; Archidiecezja Lubelska, ul. Prymasa Stefana Wyszyńskiego 2, 20-950 Lublin</t>
  </si>
  <si>
    <t>Zasadnicza Szkoła Zawodowa Przyzakładowa ZDZ im. Parczyńskiego; Zakład Doskonalenia Zawodowego, ul. Królewska 15, 20-950 Lublin</t>
  </si>
  <si>
    <t>Szkoły zawodowe</t>
  </si>
  <si>
    <t>wydatki związane z utrzymaniem zespołu do spraw orzekania 
o niepełnosprawności</t>
  </si>
  <si>
    <t>dotacja celowa z budżetu państwa na utrzymanie zespołu ds. orzekania 
o niepełnosprawności</t>
  </si>
  <si>
    <t>budowa boisk</t>
  </si>
  <si>
    <t>3.  Miejski Ośrodek Pomocy Rodzinie</t>
  </si>
  <si>
    <t>Szkoły podstawowe</t>
  </si>
  <si>
    <t xml:space="preserve">wydatki rzeczowe </t>
  </si>
  <si>
    <t>Zakup pomocy naukowych, dydaktycznych i książek</t>
  </si>
  <si>
    <t>Licea ogólnokształcące</t>
  </si>
  <si>
    <t>Zakup usług remontowych - remonty szkół</t>
  </si>
  <si>
    <t>remonty szkół</t>
  </si>
  <si>
    <t>Licea profilowane</t>
  </si>
  <si>
    <t>Wynagrodzenia osobowe pracowników</t>
  </si>
  <si>
    <t>Internaty i bursy szkolne</t>
  </si>
  <si>
    <t>Szkolne schroniska młodzieżowe</t>
  </si>
  <si>
    <t>Podatek od nieruchomości</t>
  </si>
  <si>
    <t xml:space="preserve">dotacje dla publicznych i niepublicznych szkół zawodowych </t>
  </si>
  <si>
    <t>Technikum ZDZ; Zakład Doskonalenia Zawodowego, ul. Królewska 15, 20-950 Lublin</t>
  </si>
  <si>
    <t>Policealne Studium Zawodowe ZDZ; Zakład Doskonalenia Zawodowego, ul. Królewska 15, 20-950 Lublin</t>
  </si>
  <si>
    <t>Policealne Studium Zawodowe dla Dorosłych Centrum Usług Szkoleniowych "Lider"; Centrum Usług Szkoleniowych "Lider" Sp. z o.o., ul. Radziwiłłowska 5, 20-080 Lublin</t>
  </si>
  <si>
    <t>Policealne Studium Nauk Społecznych i Zarządzania; Wschodni Ośrodek Kształcenia Sp. z o.o., ul. Krakowskie Przedmieście 72, 20-076 Lublin</t>
  </si>
  <si>
    <t>Policealne Studium Reklamy; Wyższa Szkoła Promocji, Al. Jerozolimskie 44, 00-024 Warszawa</t>
  </si>
  <si>
    <t>Policealne Studium Rachunkowości Stowarzyszenia Księgowych w Polsce; Stowarzyszenie Księgowych w Polsce Oddział Okręgowy, al. Piłsudskiego 1A, 20-011 Lublin</t>
  </si>
  <si>
    <t>Ośrodek Kształcenia Policealnego "O`Chikara" Policealna Szkoła Detektywów i Pracowników Ochrony; Michał Kwiatkowski, ul. Wieniawska 6/13, 20-071 Lublin; Dariusz Kowalski, ul. Koncertowa 5/36, 20-843 Lublin</t>
  </si>
  <si>
    <t>Pierwsza Policealna Szkoła Reklamy i Zarządzania; Ewa Kiernicka, ul. Rudlickiego 15/17, 20-318 Lublin</t>
  </si>
  <si>
    <t>Policealne Studium Mediacji i Służb Wspomagania Rodziny; Władysław Socha, ul. Paryska 6/9, 20-854 Lublin; Jerzy Łabęcki, ul. Paryska 4/34, 20-854 Lublin</t>
  </si>
  <si>
    <t>Dotacja podmiotowa z budżetu dla niepublicznej jednostki systemu oświaty</t>
  </si>
  <si>
    <t>utrzymanie stołówek szkolnych, w tym:</t>
  </si>
  <si>
    <t xml:space="preserve">       Nazwa</t>
  </si>
  <si>
    <t>§ 2590</t>
  </si>
  <si>
    <t>§ 2660</t>
  </si>
  <si>
    <t>§ 3110</t>
  </si>
  <si>
    <t>§ 4010</t>
  </si>
  <si>
    <t>§ 4040</t>
  </si>
  <si>
    <t>§ 4110</t>
  </si>
  <si>
    <t>§ 4120</t>
  </si>
  <si>
    <t>§ 4130</t>
  </si>
  <si>
    <t>§ 4140</t>
  </si>
  <si>
    <t>§ 4220</t>
  </si>
  <si>
    <t>§ 4240</t>
  </si>
  <si>
    <t>§ 4280</t>
  </si>
  <si>
    <t xml:space="preserve">  § 4410</t>
  </si>
  <si>
    <t>§ 4420</t>
  </si>
  <si>
    <t>§ 4430</t>
  </si>
  <si>
    <t>§ 4440</t>
  </si>
  <si>
    <t>§ 4480</t>
  </si>
  <si>
    <t>§ 4580</t>
  </si>
  <si>
    <t>§ 4590</t>
  </si>
  <si>
    <t>§ 4600</t>
  </si>
  <si>
    <t>§ 4610</t>
  </si>
  <si>
    <t>§ 4810</t>
  </si>
  <si>
    <t xml:space="preserve">           paragrafu</t>
  </si>
  <si>
    <t>Dotacja podm.</t>
  </si>
  <si>
    <t xml:space="preserve">Dotacja </t>
  </si>
  <si>
    <t>Świadcz.</t>
  </si>
  <si>
    <t>Wynagrodzenia</t>
  </si>
  <si>
    <t>Dodatkowe</t>
  </si>
  <si>
    <t>Składki na</t>
  </si>
  <si>
    <t>Składki</t>
  </si>
  <si>
    <t xml:space="preserve">Składki </t>
  </si>
  <si>
    <t>Wpłaty na</t>
  </si>
  <si>
    <t xml:space="preserve">    Zakup</t>
  </si>
  <si>
    <t>Zakup</t>
  </si>
  <si>
    <t xml:space="preserve">Zakup </t>
  </si>
  <si>
    <t>Podróże</t>
  </si>
  <si>
    <t>Różne</t>
  </si>
  <si>
    <t>Odpisy</t>
  </si>
  <si>
    <t xml:space="preserve">Podatek </t>
  </si>
  <si>
    <t xml:space="preserve">Pozostałe </t>
  </si>
  <si>
    <t>Kary i</t>
  </si>
  <si>
    <t xml:space="preserve">Koszty </t>
  </si>
  <si>
    <t>Wydatki na</t>
  </si>
  <si>
    <t>z budż. dla pub..</t>
  </si>
  <si>
    <t>przedmiotowa</t>
  </si>
  <si>
    <t>i wydatki</t>
  </si>
  <si>
    <t>społeczne</t>
  </si>
  <si>
    <t>osobowe</t>
  </si>
  <si>
    <t>wynagr.</t>
  </si>
  <si>
    <t>ubezpiecz.</t>
  </si>
  <si>
    <t xml:space="preserve">na </t>
  </si>
  <si>
    <t>na</t>
  </si>
  <si>
    <t>Państwowy</t>
  </si>
  <si>
    <t xml:space="preserve">materiałów </t>
  </si>
  <si>
    <t>środków</t>
  </si>
  <si>
    <t>pomocy</t>
  </si>
  <si>
    <t>energii</t>
  </si>
  <si>
    <t xml:space="preserve">usług </t>
  </si>
  <si>
    <t>usług</t>
  </si>
  <si>
    <t>służbowe</t>
  </si>
  <si>
    <t>opłaty</t>
  </si>
  <si>
    <t>na zakł.</t>
  </si>
  <si>
    <t>od</t>
  </si>
  <si>
    <t>odsetki</t>
  </si>
  <si>
    <t>odszkodow.</t>
  </si>
  <si>
    <t>postępowania</t>
  </si>
  <si>
    <t>Rezerwy</t>
  </si>
  <si>
    <t>inwestycyjne</t>
  </si>
  <si>
    <t>zakupy</t>
  </si>
  <si>
    <t>szkół i innych</t>
  </si>
  <si>
    <t xml:space="preserve">z budż. otrzym. </t>
  </si>
  <si>
    <t>pracowników</t>
  </si>
  <si>
    <t>roczne</t>
  </si>
  <si>
    <t>Fundusz</t>
  </si>
  <si>
    <t>ubezpieczenie</t>
  </si>
  <si>
    <t>i</t>
  </si>
  <si>
    <t>żywności</t>
  </si>
  <si>
    <t>naukowych,</t>
  </si>
  <si>
    <t>w tym</t>
  </si>
  <si>
    <t>zdrowotnych</t>
  </si>
  <si>
    <t>pozostałych</t>
  </si>
  <si>
    <t>krajowe</t>
  </si>
  <si>
    <t>zagran.</t>
  </si>
  <si>
    <t>i składki</t>
  </si>
  <si>
    <t>fundusz</t>
  </si>
  <si>
    <t>nieruchomości</t>
  </si>
  <si>
    <t>wypłacane na</t>
  </si>
  <si>
    <t xml:space="preserve">sądowego </t>
  </si>
  <si>
    <t>jednostek</t>
  </si>
  <si>
    <t>Razem</t>
  </si>
  <si>
    <t>placówek</t>
  </si>
  <si>
    <t xml:space="preserve">przez </t>
  </si>
  <si>
    <t>Pracy</t>
  </si>
  <si>
    <t>zdrowotne</t>
  </si>
  <si>
    <t>Rehabilitacji</t>
  </si>
  <si>
    <t>wyposażenia</t>
  </si>
  <si>
    <t>dydaktycznych</t>
  </si>
  <si>
    <t>remonty</t>
  </si>
  <si>
    <t>świadczeń</t>
  </si>
  <si>
    <t>rzecz osób</t>
  </si>
  <si>
    <t>rzecz osób pr.i</t>
  </si>
  <si>
    <t>budżetowych</t>
  </si>
  <si>
    <t xml:space="preserve">       szkoły</t>
  </si>
  <si>
    <t>ośw.-wych.</t>
  </si>
  <si>
    <t xml:space="preserve"> gosp. pomoc.</t>
  </si>
  <si>
    <t>Osób Niepłn.</t>
  </si>
  <si>
    <t>i książek</t>
  </si>
  <si>
    <t>socjalnych</t>
  </si>
  <si>
    <t>fizycznych</t>
  </si>
  <si>
    <t>i in. jedn. organ.</t>
  </si>
  <si>
    <t>prokuratorsk.</t>
  </si>
  <si>
    <t xml:space="preserve">  OGÓŁEM</t>
  </si>
  <si>
    <t>Dział 801 - Oświata  i Wychowanie</t>
  </si>
  <si>
    <t>rozdz. 80101 - Szkoły podstawowe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</si>
  <si>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</si>
  <si>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</si>
  <si>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</si>
  <si>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</si>
  <si>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</si>
  <si>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</si>
  <si>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Szkoła Podstawowa nr 9</t>
  </si>
  <si>
    <t>Szkoła Podstawowa nr 10</t>
  </si>
  <si>
    <t>ZSO nr 2 (Szkoła Podstawowa nr 11)</t>
  </si>
  <si>
    <t>Szkoła Podstawowa nr 12</t>
  </si>
  <si>
    <t>Szkoła Podstawowa nr 13</t>
  </si>
  <si>
    <t>Szkoła Podstawowa nr 14</t>
  </si>
  <si>
    <t>Szkoła Podstawowa nr 15</t>
  </si>
  <si>
    <t>Szkoła Podstawowa nr 16</t>
  </si>
  <si>
    <t>ZSO nr 6 (Szkoła Podstawowa nr 17)</t>
  </si>
  <si>
    <t>Szkoła Podstawowa nr 18</t>
  </si>
  <si>
    <t>Szkoła Podstawowa nr 20</t>
  </si>
  <si>
    <t>Szkoła Podstawowa nr 21</t>
  </si>
  <si>
    <t>ZSO nr 5 (Szkoła Podstawowa nr 22)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</si>
  <si>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</si>
  <si>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</si>
  <si>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</si>
  <si>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</si>
  <si>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</si>
  <si>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</si>
  <si>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</si>
  <si>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</si>
  <si>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</si>
  <si>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33</t>
  </si>
  <si>
    <t>Szkoła Podstawowa nr 34</t>
  </si>
  <si>
    <t>Szkoła Podstawowa nr 35</t>
  </si>
  <si>
    <t>Szkoła Podstawowa nr 36</t>
  </si>
  <si>
    <t>Szkoła Podstawowa nr 37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</si>
  <si>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</si>
  <si>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</si>
  <si>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</si>
  <si>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</si>
  <si>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</si>
  <si>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ZSO nr 4 (Szkoła Podstawowa nr 44)</t>
  </si>
  <si>
    <t>ZSO nr 1 (Szkoła Podstawowa nr 45)</t>
  </si>
  <si>
    <t>Szkoła Podstawowa nr 46</t>
  </si>
  <si>
    <t>Szkoła Podstawowa nr 47</t>
  </si>
  <si>
    <t>Szkoła Podstawowa nr 48</t>
  </si>
  <si>
    <t>Szkoła Podstawowa nr 50</t>
  </si>
  <si>
    <t>Szkoła Podstawowa nr 51</t>
  </si>
  <si>
    <t>Pogotowie Opiekuńcze (Szkoła Podstawowa)</t>
  </si>
  <si>
    <t>Gimnazjum nr 1</t>
  </si>
  <si>
    <t>Gimnazjum nr 5</t>
  </si>
  <si>
    <t>Gimnazjum nr 7</t>
  </si>
  <si>
    <t>Gimnazjum nr 19</t>
  </si>
  <si>
    <t>Specjalny Ośrodek Szkolno-Wychowawczy nr 2</t>
  </si>
  <si>
    <t>rozdz. 80120 Licea ogólnokształcące</t>
  </si>
  <si>
    <t>I Liceum Ogólnokształcące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</si>
  <si>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</si>
  <si>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</si>
  <si>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</si>
  <si>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</si>
  <si>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</si>
  <si>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VIILO</t>
  </si>
  <si>
    <t>VII Liceum Ogólnokształcące</t>
  </si>
  <si>
    <t>VIIILO</t>
  </si>
  <si>
    <t>VIII Liceum Ogólnokształcące</t>
  </si>
  <si>
    <t>IX Liceum Ogólnokształcące</t>
  </si>
  <si>
    <t>ZSO nr 1 (XIV Liceum Ogólnokształcące)</t>
  </si>
  <si>
    <t>ZSO nr 2 (XVIII Liceum Ogólnokształcące)</t>
  </si>
  <si>
    <t>ZSO nr 5 (XIX Liceum Ogólnokształcące)</t>
  </si>
  <si>
    <t>ZSO nr 4 (XX Liceum Ogólnokształcące)</t>
  </si>
  <si>
    <t>ZSO nr 6 (XXII Liceum Ogólnokształcące)</t>
  </si>
  <si>
    <t>rozdz. 80123 - Licea profilowane</t>
  </si>
  <si>
    <t>10LP</t>
  </si>
  <si>
    <t>Zespół Szkół Odzieżowo-Włókienniczych (X Liceum Profilowane)</t>
  </si>
  <si>
    <t>17LP</t>
  </si>
  <si>
    <t>Zespół Szkół nr 6 (XVII Liceum Profilowane dla Dorosłych)</t>
  </si>
  <si>
    <t>20LP</t>
  </si>
  <si>
    <t>Zespół Szkół Elektronicznych (XX Liceum Profilowane)</t>
  </si>
  <si>
    <t>rozdz. 80130 - Szkoły zawodowe</t>
  </si>
  <si>
    <t>PSB</t>
  </si>
  <si>
    <t>Państwowe Szkoły Budownictwa i Geodezji</t>
  </si>
  <si>
    <t>ZSB</t>
  </si>
  <si>
    <t>Zespół Szkół Budowlanych</t>
  </si>
  <si>
    <t>ZSC</t>
  </si>
  <si>
    <t>Zespół Szkół Chemicznych</t>
  </si>
  <si>
    <t>ZSEk</t>
  </si>
  <si>
    <t>Zespół Szkół Ekonomicznych</t>
  </si>
  <si>
    <t>ZSEl</t>
  </si>
  <si>
    <t>Zespół Szkół Elektronicznych</t>
  </si>
  <si>
    <t>ZSEn</t>
  </si>
  <si>
    <t>Zespół Szkół Energetycznych</t>
  </si>
  <si>
    <t>ZSK</t>
  </si>
  <si>
    <t xml:space="preserve">Zespół Szkół Transportowo-Komunikacyjnych </t>
  </si>
  <si>
    <t>ZSOW</t>
  </si>
  <si>
    <t>Zespół Szkół Odzieżowo-Włókienniczych</t>
  </si>
  <si>
    <t>ZSM</t>
  </si>
  <si>
    <t>Zespół Szkół Mechanicznych</t>
  </si>
  <si>
    <t>ZSPS</t>
  </si>
  <si>
    <t>Zespół Szkół Przemysłu Spożywczego</t>
  </si>
  <si>
    <t>ZSS</t>
  </si>
  <si>
    <t>Zespół Szkół Samochodowych</t>
  </si>
  <si>
    <t>ZSS2</t>
  </si>
  <si>
    <t>Zespół Szkół Samochodowych nr 2</t>
  </si>
  <si>
    <t>ZSW</t>
  </si>
  <si>
    <t>Zespół Szkół Włókienniczych</t>
  </si>
  <si>
    <t>ZS1</t>
  </si>
  <si>
    <t>Zespół Szkół nr 1</t>
  </si>
  <si>
    <t>ZS3</t>
  </si>
  <si>
    <t>Zespół Szkół  nr 3</t>
  </si>
  <si>
    <t>ZS5</t>
  </si>
  <si>
    <t>Zespół Szkół nr 5</t>
  </si>
  <si>
    <t>ZS6</t>
  </si>
  <si>
    <t>Zespół Szkół  nr 6</t>
  </si>
  <si>
    <t>Specjalny Ośrodek Szkolno-Wychowawczy nr 1</t>
  </si>
  <si>
    <t>Lubelskie Centrum Edukacji Zawodowej</t>
  </si>
  <si>
    <t>Zespół Szkół  nr 4</t>
  </si>
  <si>
    <t>Ośrodek Szkolno - Wychowawczy dla Dzieci i Młodzieży Niesłyszącej i Słabo Słyszącej</t>
  </si>
  <si>
    <t>Ośrodek Szkolno - Wychowawczy dla Dzieci i Młodzieży Słabowidzącej</t>
  </si>
  <si>
    <t>rozdz.80195- Pozostała działalność</t>
  </si>
  <si>
    <t>e2</t>
  </si>
  <si>
    <t>e3</t>
  </si>
  <si>
    <t>e4</t>
  </si>
  <si>
    <t>e5</t>
  </si>
  <si>
    <t>e6</t>
  </si>
  <si>
    <t>e7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</si>
  <si>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</si>
  <si>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</si>
  <si>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</si>
  <si>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</si>
  <si>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</si>
  <si>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</si>
  <si>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</si>
  <si>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</si>
  <si>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</si>
  <si>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</si>
  <si>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e20</t>
  </si>
  <si>
    <t>e21</t>
  </si>
  <si>
    <t>e22</t>
  </si>
  <si>
    <t>e23</t>
  </si>
  <si>
    <t>e24</t>
  </si>
  <si>
    <t>e25</t>
  </si>
  <si>
    <t>e27</t>
  </si>
  <si>
    <t>e28</t>
  </si>
  <si>
    <t>e29</t>
  </si>
  <si>
    <t>e30</t>
  </si>
  <si>
    <t>e31</t>
  </si>
  <si>
    <t>e32</t>
  </si>
  <si>
    <t>e33</t>
  </si>
  <si>
    <t>e34</t>
  </si>
  <si>
    <t>e35</t>
  </si>
  <si>
    <t>e36</t>
  </si>
  <si>
    <t>e37</t>
  </si>
  <si>
    <t>e38</t>
  </si>
  <si>
    <t>e39</t>
  </si>
  <si>
    <t>e40</t>
  </si>
  <si>
    <t>e42</t>
  </si>
  <si>
    <t>e43</t>
  </si>
  <si>
    <t>e44</t>
  </si>
  <si>
    <t>e45</t>
  </si>
  <si>
    <t>e46</t>
  </si>
  <si>
    <t>e47</t>
  </si>
  <si>
    <t>e48</t>
  </si>
  <si>
    <t>e49</t>
  </si>
  <si>
    <t>Zespół Szkół nr 4 (SP nr 49)</t>
  </si>
  <si>
    <t>e50</t>
  </si>
  <si>
    <t>epo</t>
  </si>
  <si>
    <t>eg1</t>
  </si>
  <si>
    <t>eg5</t>
  </si>
  <si>
    <t>eg7</t>
  </si>
  <si>
    <t>eg19</t>
  </si>
  <si>
    <t>eI</t>
  </si>
  <si>
    <t>eII</t>
  </si>
  <si>
    <t>eIII</t>
  </si>
  <si>
    <t>eIV</t>
  </si>
  <si>
    <t>eV</t>
  </si>
  <si>
    <t>eVI</t>
  </si>
  <si>
    <t>evii</t>
  </si>
  <si>
    <t>eVIII</t>
  </si>
  <si>
    <t>eIX</t>
  </si>
  <si>
    <t>eXIV</t>
  </si>
  <si>
    <t>eXVIII</t>
  </si>
  <si>
    <t>eXX</t>
  </si>
  <si>
    <t>eXIX</t>
  </si>
  <si>
    <t>eXXII</t>
  </si>
  <si>
    <t>Ezsow</t>
  </si>
  <si>
    <t>ezsw</t>
  </si>
  <si>
    <t>Zespół Szkół  Włókienniczych</t>
  </si>
  <si>
    <t>ezss</t>
  </si>
  <si>
    <t>Zespół Szkół  Samochodowych</t>
  </si>
  <si>
    <t>ezss2</t>
  </si>
  <si>
    <t>Zespół Szkół  Samochodowych nr 2</t>
  </si>
  <si>
    <t>ezsm</t>
  </si>
  <si>
    <t>Zespół Szkół  Mechanicznych</t>
  </si>
  <si>
    <t>ezsb</t>
  </si>
  <si>
    <t>Zespół Szkół  Budowlanych</t>
  </si>
  <si>
    <t>epsbg</t>
  </si>
  <si>
    <t>ezsek</t>
  </si>
  <si>
    <t>Zespół Szkół  Ekonomicznych</t>
  </si>
  <si>
    <t>ezsc</t>
  </si>
  <si>
    <t>Zespół Szkół  Chemicznych</t>
  </si>
  <si>
    <t>ezsel</t>
  </si>
  <si>
    <t>Zespół Szkół  Elektronicznych</t>
  </si>
  <si>
    <t>ezsen</t>
  </si>
  <si>
    <t>Zespół Szkół  Energetycznych</t>
  </si>
  <si>
    <t>ezsps</t>
  </si>
  <si>
    <t>Zespół Szkół  Przemysłu Spożywczego</t>
  </si>
  <si>
    <t>ezsk</t>
  </si>
  <si>
    <t>Zespół Szkół  Transportowo-Komunikacyjnych</t>
  </si>
  <si>
    <t>ezs1</t>
  </si>
  <si>
    <t>Zespół Szkół  nr 1</t>
  </si>
  <si>
    <t>ezs3</t>
  </si>
  <si>
    <t>ezs4</t>
  </si>
  <si>
    <t>ezs5</t>
  </si>
  <si>
    <t>Zespół Szkół  nr 5</t>
  </si>
  <si>
    <t>ezs6</t>
  </si>
  <si>
    <t>ecku1</t>
  </si>
  <si>
    <t>ecku2</t>
  </si>
  <si>
    <t>elcez</t>
  </si>
  <si>
    <t>eon</t>
  </si>
  <si>
    <t>eo1</t>
  </si>
  <si>
    <t>modernizacje szkół</t>
  </si>
  <si>
    <t>rozdz. 80110 - Gimnazja</t>
  </si>
  <si>
    <t>wydatki majątkowe</t>
  </si>
  <si>
    <t>dofinansowanie działań na rzecz utrzymania bezpieczeństwa w mieście</t>
  </si>
  <si>
    <t xml:space="preserve">inwestycje </t>
  </si>
  <si>
    <t xml:space="preserve">Gospodarka mieszkaniowa </t>
  </si>
  <si>
    <t>Zakłady gospodarki mieszkaniowej</t>
  </si>
  <si>
    <t>Remonty budynków komunalnych</t>
  </si>
  <si>
    <t>Remonty ogólnobudowlane</t>
  </si>
  <si>
    <t>remonty pustostanów, dachów, kominów, kanałów, stolarki</t>
  </si>
  <si>
    <t>Remonty budynków Wspólnot Mieszkaniowych</t>
  </si>
  <si>
    <t>remonty bieżące</t>
  </si>
  <si>
    <t>remonty pustostanów, dachów, kominów</t>
  </si>
  <si>
    <t>Gospodarka mieszkaniowa</t>
  </si>
  <si>
    <t xml:space="preserve">Dotacja przedmiotowa z budżetu dla zakładu budżetowego </t>
  </si>
  <si>
    <t>dotacja dla Zarządu Nieruchomości Komunalnych, w tym:</t>
  </si>
  <si>
    <t>udziały w spółce "Lubelski Park Naukowo - Technologiczny" Sp. z o.o.</t>
  </si>
  <si>
    <t>Plan na 2003 rok
z późn. zm.</t>
  </si>
  <si>
    <t>Plan
na 2003 rok
z późn. zm.</t>
  </si>
  <si>
    <t xml:space="preserve">Wydatki na zadania zlecone, z tego: </t>
  </si>
  <si>
    <t>upowszechnianie kultury i sztuki</t>
  </si>
  <si>
    <t>WYDATKI - zmiany</t>
  </si>
  <si>
    <t>Stowarzyszenie na Rzecz Dzieci i Młodzieży Niepełnosprawnej Ruchowo, 
ul. Doświadczalna 46, 20-236 Lublin; Świetlica Integracyjna "Razem"</t>
  </si>
  <si>
    <t>Fundacja na Rzecz Osób Niepełnosprawnych "Tacy Sami", ul. Narutowicza 74A, 
20-019 Lublin; Ośrodek Terapeutyczny</t>
  </si>
  <si>
    <t>Zespół Szkół Rzemiosła i Przedsiębiorczości, Izba Rzemiosła i Przedsiębiorczosci, ul. Rynek 2, 
20 - 111 Lublin</t>
  </si>
  <si>
    <t>wydatki majątkowe - udziały w spółce "Lubelski Park Naukowo - Technologiczny" Sp. z o.o.</t>
  </si>
  <si>
    <t>dofinansowanie działań na rzecz utrzymania bezpieczeństwa 
w mieście - utworzenie Komisariatu IV w os. LSM</t>
  </si>
  <si>
    <t xml:space="preserve">do Zarządzenia Nr 560/2003 </t>
  </si>
  <si>
    <t>z dnia 29 lipca 2003 roku</t>
  </si>
  <si>
    <t>do Zarządzenia Nr 560/2003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</si>
</sst>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</numFmts>
  <fonts count="30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i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Arial CE"/>
      <family val="2"/>
    </font>
    <font>
      <b/>
      <u val="single"/>
      <sz val="11"/>
      <color indexed="8"/>
      <name val="Arial CE"/>
      <family val="2"/>
    </font>
    <font>
      <b/>
      <i/>
      <u val="single"/>
      <sz val="10"/>
      <color indexed="8"/>
      <name val="Arial CE"/>
      <family val="2"/>
    </font>
    <font>
      <sz val="10"/>
      <name val="Arial"/>
      <family val="2"/>
    </font>
    <font>
      <i/>
      <sz val="9"/>
      <name val="Arial CE"/>
      <family val="2"/>
    </font>
    <font>
      <i/>
      <sz val="11"/>
      <name val="Arial CE"/>
      <family val="2"/>
    </font>
    <font>
      <sz val="9"/>
      <color indexed="8"/>
      <name val="Arial CE"/>
      <family val="2"/>
    </font>
    <font>
      <sz val="7"/>
      <name val="Arial CE"/>
      <family val="2"/>
    </font>
  </fonts>
  <fills count="8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8"/>
      </patternFill>
    </fill>
    <fill>
      <patternFill patternType="gray0625">
        <fgColor indexed="9"/>
      </patternFill>
    </fill>
  </fills>
  <borders count="11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dashed"/>
      <bottom style="dotted"/>
    </border>
    <border>
      <left style="thin"/>
      <right style="thin"/>
      <top style="thin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double"/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medium"/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7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0" fillId="0" borderId="7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3" borderId="3" xfId="0" applyFont="1" applyFill="1" applyBorder="1" applyAlignment="1">
      <alignment/>
    </xf>
    <xf numFmtId="3" fontId="3" fillId="3" borderId="3" xfId="0" applyNumberFormat="1" applyFont="1" applyFill="1" applyBorder="1" applyAlignment="1">
      <alignment horizontal="right"/>
    </xf>
    <xf numFmtId="0" fontId="3" fillId="3" borderId="0" xfId="0" applyFont="1" applyFill="1" applyAlignment="1">
      <alignment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0" fontId="10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wrapText="1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wrapText="1"/>
    </xf>
    <xf numFmtId="3" fontId="1" fillId="2" borderId="3" xfId="0" applyNumberFormat="1" applyFont="1" applyFill="1" applyBorder="1" applyAlignment="1">
      <alignment wrapText="1"/>
    </xf>
    <xf numFmtId="0" fontId="3" fillId="3" borderId="3" xfId="0" applyFont="1" applyFill="1" applyBorder="1" applyAlignment="1">
      <alignment/>
    </xf>
    <xf numFmtId="0" fontId="1" fillId="3" borderId="13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wrapText="1"/>
    </xf>
    <xf numFmtId="3" fontId="1" fillId="3" borderId="3" xfId="0" applyNumberFormat="1" applyFont="1" applyFill="1" applyBorder="1" applyAlignment="1">
      <alignment wrapText="1"/>
    </xf>
    <xf numFmtId="0" fontId="0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1" fillId="0" borderId="2" xfId="0" applyFont="1" applyBorder="1" applyAlignment="1">
      <alignment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3" fontId="9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3" fontId="0" fillId="0" borderId="5" xfId="0" applyNumberFormat="1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3" borderId="13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0" fontId="3" fillId="3" borderId="2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0" fillId="0" borderId="16" xfId="0" applyFont="1" applyBorder="1" applyAlignment="1">
      <alignment/>
    </xf>
    <xf numFmtId="0" fontId="1" fillId="2" borderId="5" xfId="0" applyFont="1" applyFill="1" applyBorder="1" applyAlignment="1">
      <alignment/>
    </xf>
    <xf numFmtId="3" fontId="0" fillId="0" borderId="13" xfId="0" applyNumberFormat="1" applyFont="1" applyBorder="1" applyAlignment="1">
      <alignment wrapText="1"/>
    </xf>
    <xf numFmtId="3" fontId="0" fillId="0" borderId="17" xfId="0" applyNumberFormat="1" applyFont="1" applyBorder="1" applyAlignment="1">
      <alignment wrapText="1"/>
    </xf>
    <xf numFmtId="0" fontId="3" fillId="0" borderId="18" xfId="0" applyFont="1" applyBorder="1" applyAlignment="1">
      <alignment wrapText="1"/>
    </xf>
    <xf numFmtId="3" fontId="3" fillId="0" borderId="18" xfId="0" applyNumberFormat="1" applyFont="1" applyBorder="1" applyAlignment="1">
      <alignment wrapText="1"/>
    </xf>
    <xf numFmtId="3" fontId="0" fillId="0" borderId="8" xfId="0" applyNumberFormat="1" applyFont="1" applyBorder="1" applyAlignment="1">
      <alignment/>
    </xf>
    <xf numFmtId="3" fontId="0" fillId="3" borderId="8" xfId="0" applyNumberFormat="1" applyFont="1" applyFill="1" applyBorder="1" applyAlignment="1">
      <alignment horizontal="right"/>
    </xf>
    <xf numFmtId="0" fontId="3" fillId="3" borderId="3" xfId="0" applyFont="1" applyFill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0" fillId="4" borderId="2" xfId="0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0" fontId="8" fillId="0" borderId="2" xfId="0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4" borderId="15" xfId="0" applyFont="1" applyFill="1" applyBorder="1" applyAlignment="1">
      <alignment/>
    </xf>
    <xf numFmtId="0" fontId="0" fillId="4" borderId="15" xfId="0" applyFont="1" applyFill="1" applyBorder="1" applyAlignment="1">
      <alignment wrapText="1"/>
    </xf>
    <xf numFmtId="0" fontId="1" fillId="4" borderId="19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wrapText="1"/>
    </xf>
    <xf numFmtId="0" fontId="1" fillId="4" borderId="15" xfId="0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center"/>
    </xf>
    <xf numFmtId="0" fontId="0" fillId="4" borderId="19" xfId="0" applyFont="1" applyFill="1" applyBorder="1" applyAlignment="1">
      <alignment/>
    </xf>
    <xf numFmtId="0" fontId="0" fillId="4" borderId="20" xfId="0" applyFont="1" applyFill="1" applyBorder="1" applyAlignment="1">
      <alignment/>
    </xf>
    <xf numFmtId="0" fontId="1" fillId="4" borderId="21" xfId="0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top" wrapText="1"/>
    </xf>
    <xf numFmtId="0" fontId="2" fillId="0" borderId="22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0" fillId="4" borderId="2" xfId="0" applyFont="1" applyFill="1" applyBorder="1" applyAlignment="1">
      <alignment/>
    </xf>
    <xf numFmtId="0" fontId="7" fillId="4" borderId="11" xfId="0" applyFont="1" applyFill="1" applyBorder="1" applyAlignment="1">
      <alignment wrapText="1"/>
    </xf>
    <xf numFmtId="3" fontId="7" fillId="4" borderId="11" xfId="0" applyNumberFormat="1" applyFont="1" applyFill="1" applyBorder="1" applyAlignment="1">
      <alignment horizontal="right"/>
    </xf>
    <xf numFmtId="3" fontId="7" fillId="4" borderId="23" xfId="0" applyNumberFormat="1" applyFont="1" applyFill="1" applyBorder="1" applyAlignment="1">
      <alignment horizontal="right"/>
    </xf>
    <xf numFmtId="3" fontId="7" fillId="4" borderId="24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vertical="center"/>
    </xf>
    <xf numFmtId="0" fontId="0" fillId="4" borderId="13" xfId="0" applyFont="1" applyFill="1" applyBorder="1" applyAlignment="1">
      <alignment wrapText="1"/>
    </xf>
    <xf numFmtId="3" fontId="0" fillId="4" borderId="13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3" fontId="0" fillId="4" borderId="2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4" xfId="0" applyFont="1" applyBorder="1" applyAlignment="1">
      <alignment wrapText="1"/>
    </xf>
    <xf numFmtId="3" fontId="12" fillId="0" borderId="4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3" fontId="12" fillId="0" borderId="28" xfId="0" applyNumberFormat="1" applyFont="1" applyBorder="1" applyAlignment="1">
      <alignment/>
    </xf>
    <xf numFmtId="3" fontId="1" fillId="2" borderId="5" xfId="0" applyNumberFormat="1" applyFont="1" applyFill="1" applyBorder="1" applyAlignment="1">
      <alignment wrapText="1"/>
    </xf>
    <xf numFmtId="3" fontId="1" fillId="2" borderId="29" xfId="0" applyNumberFormat="1" applyFont="1" applyFill="1" applyBorder="1" applyAlignment="1">
      <alignment/>
    </xf>
    <xf numFmtId="3" fontId="1" fillId="2" borderId="30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0" fontId="12" fillId="0" borderId="5" xfId="0" applyFont="1" applyBorder="1" applyAlignment="1">
      <alignment wrapText="1"/>
    </xf>
    <xf numFmtId="3" fontId="12" fillId="0" borderId="5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3" fontId="12" fillId="0" borderId="33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0" fontId="0" fillId="0" borderId="0" xfId="0" applyAlignment="1">
      <alignment wrapText="1"/>
    </xf>
    <xf numFmtId="0" fontId="0" fillId="3" borderId="0" xfId="0" applyFont="1" applyFill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3" fontId="1" fillId="3" borderId="10" xfId="0" applyNumberFormat="1" applyFont="1" applyFill="1" applyBorder="1" applyAlignment="1">
      <alignment/>
    </xf>
    <xf numFmtId="0" fontId="0" fillId="3" borderId="9" xfId="0" applyFont="1" applyFill="1" applyBorder="1" applyAlignment="1">
      <alignment horizontal="left"/>
    </xf>
    <xf numFmtId="3" fontId="1" fillId="3" borderId="9" xfId="0" applyNumberFormat="1" applyFont="1" applyFill="1" applyBorder="1" applyAlignment="1">
      <alignment/>
    </xf>
    <xf numFmtId="0" fontId="4" fillId="3" borderId="4" xfId="0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left" wrapText="1"/>
    </xf>
    <xf numFmtId="3" fontId="0" fillId="0" borderId="37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3" xfId="0" applyNumberFormat="1" applyFont="1" applyBorder="1" applyAlignment="1">
      <alignment wrapText="1"/>
    </xf>
    <xf numFmtId="0" fontId="1" fillId="2" borderId="5" xfId="0" applyFont="1" applyFill="1" applyBorder="1" applyAlignment="1">
      <alignment/>
    </xf>
    <xf numFmtId="0" fontId="1" fillId="0" borderId="3" xfId="0" applyFont="1" applyBorder="1" applyAlignment="1">
      <alignment horizontal="left" wrapText="1"/>
    </xf>
    <xf numFmtId="3" fontId="1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3" fontId="1" fillId="3" borderId="3" xfId="0" applyNumberFormat="1" applyFont="1" applyFill="1" applyBorder="1" applyAlignment="1">
      <alignment/>
    </xf>
    <xf numFmtId="0" fontId="3" fillId="3" borderId="16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1" fillId="0" borderId="3" xfId="0" applyFont="1" applyBorder="1" applyAlignment="1">
      <alignment vertical="top"/>
    </xf>
    <xf numFmtId="0" fontId="13" fillId="0" borderId="0" xfId="0" applyAlignment="1">
      <alignment/>
    </xf>
    <xf numFmtId="3" fontId="13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Alignment="1">
      <alignment/>
    </xf>
    <xf numFmtId="0" fontId="15" fillId="0" borderId="0" xfId="0" applyFont="1" applyAlignment="1">
      <alignment horizontal="left"/>
    </xf>
    <xf numFmtId="3" fontId="13" fillId="0" borderId="0" xfId="0" applyAlignment="1">
      <alignment horizontal="right"/>
    </xf>
    <xf numFmtId="0" fontId="14" fillId="0" borderId="38" xfId="0" applyAlignment="1">
      <alignment horizontal="center" vertical="center"/>
    </xf>
    <xf numFmtId="0" fontId="14" fillId="0" borderId="38" xfId="0" applyFont="1" applyAlignment="1">
      <alignment horizontal="center" vertical="center" wrapText="1"/>
    </xf>
    <xf numFmtId="3" fontId="14" fillId="0" borderId="38" xfId="0" applyAlignment="1">
      <alignment horizontal="center" vertical="center" wrapText="1"/>
    </xf>
    <xf numFmtId="0" fontId="16" fillId="0" borderId="39" xfId="0" applyAlignment="1">
      <alignment horizontal="left"/>
    </xf>
    <xf numFmtId="0" fontId="13" fillId="0" borderId="40" xfId="0" applyAlignment="1">
      <alignment horizontal="center"/>
    </xf>
    <xf numFmtId="0" fontId="13" fillId="0" borderId="40" xfId="0" applyAlignment="1">
      <alignment/>
    </xf>
    <xf numFmtId="0" fontId="13" fillId="0" borderId="40" xfId="0" applyFill="1" applyBorder="1" applyAlignment="1">
      <alignment/>
    </xf>
    <xf numFmtId="0" fontId="18" fillId="0" borderId="40" xfId="0" applyFont="1" applyFill="1" applyBorder="1" applyAlignment="1">
      <alignment/>
    </xf>
    <xf numFmtId="0" fontId="0" fillId="0" borderId="0" xfId="0" applyFill="1" applyAlignment="1">
      <alignment/>
    </xf>
    <xf numFmtId="0" fontId="13" fillId="0" borderId="41" xfId="0" applyFont="1" applyFill="1" applyBorder="1" applyAlignment="1">
      <alignment wrapText="1"/>
    </xf>
    <xf numFmtId="0" fontId="20" fillId="0" borderId="0" xfId="0" applyAlignment="1">
      <alignment/>
    </xf>
    <xf numFmtId="3" fontId="20" fillId="0" borderId="0" xfId="0" applyAlignment="1">
      <alignment/>
    </xf>
    <xf numFmtId="3" fontId="13" fillId="0" borderId="0" xfId="0" applyFont="1" applyAlignment="1">
      <alignment/>
    </xf>
    <xf numFmtId="0" fontId="13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Alignment="1">
      <alignment/>
    </xf>
    <xf numFmtId="0" fontId="18" fillId="0" borderId="0" xfId="0" applyFont="1" applyFill="1" applyBorder="1" applyAlignment="1">
      <alignment wrapText="1"/>
    </xf>
    <xf numFmtId="0" fontId="16" fillId="0" borderId="42" xfId="0" applyAlignment="1">
      <alignment/>
    </xf>
    <xf numFmtId="0" fontId="16" fillId="0" borderId="42" xfId="0" applyAlignment="1">
      <alignment horizontal="center"/>
    </xf>
    <xf numFmtId="3" fontId="16" fillId="0" borderId="42" xfId="0" applyAlignment="1">
      <alignment horizontal="center" vertical="center"/>
    </xf>
    <xf numFmtId="3" fontId="16" fillId="0" borderId="43" xfId="0" applyAlignment="1">
      <alignment horizontal="center" vertical="center"/>
    </xf>
    <xf numFmtId="0" fontId="16" fillId="0" borderId="44" xfId="0" applyAlignment="1">
      <alignment horizontal="center" vertical="top" wrapText="1"/>
    </xf>
    <xf numFmtId="3" fontId="16" fillId="0" borderId="45" xfId="0" applyAlignment="1">
      <alignment horizontal="center" vertical="top" wrapText="1"/>
    </xf>
    <xf numFmtId="0" fontId="21" fillId="0" borderId="38" xfId="0" applyAlignment="1">
      <alignment horizontal="center" vertical="center"/>
    </xf>
    <xf numFmtId="3" fontId="21" fillId="0" borderId="38" xfId="0" applyAlignment="1">
      <alignment horizontal="center" vertical="center"/>
    </xf>
    <xf numFmtId="0" fontId="22" fillId="0" borderId="39" xfId="0" applyFont="1" applyAlignment="1">
      <alignment horizontal="center" vertical="center"/>
    </xf>
    <xf numFmtId="0" fontId="16" fillId="0" borderId="46" xfId="0" applyFont="1" applyAlignment="1">
      <alignment horizontal="center" vertical="center"/>
    </xf>
    <xf numFmtId="3" fontId="16" fillId="0" borderId="46" xfId="0" applyFont="1" applyAlignment="1">
      <alignment horizontal="right"/>
    </xf>
    <xf numFmtId="0" fontId="22" fillId="0" borderId="0" xfId="0" applyFont="1" applyAlignment="1">
      <alignment/>
    </xf>
    <xf numFmtId="3" fontId="5" fillId="0" borderId="0" xfId="0" applyNumberFormat="1" applyFont="1" applyBorder="1" applyAlignment="1">
      <alignment horizontal="right"/>
    </xf>
    <xf numFmtId="0" fontId="13" fillId="0" borderId="40" xfId="0" applyAlignment="1">
      <alignment horizontal="center" vertical="center"/>
    </xf>
    <xf numFmtId="0" fontId="13" fillId="0" borderId="40" xfId="0" applyAlignment="1">
      <alignment horizontal="left" vertical="center"/>
    </xf>
    <xf numFmtId="0" fontId="13" fillId="0" borderId="40" xfId="0" applyFill="1" applyAlignment="1">
      <alignment horizontal="center" vertical="center"/>
    </xf>
    <xf numFmtId="0" fontId="23" fillId="0" borderId="40" xfId="0" applyFont="1" applyFill="1" applyAlignment="1">
      <alignment horizontal="center" vertical="center"/>
    </xf>
    <xf numFmtId="0" fontId="13" fillId="0" borderId="0" xfId="0" applyFill="1" applyAlignment="1">
      <alignment/>
    </xf>
    <xf numFmtId="0" fontId="1" fillId="0" borderId="3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3" borderId="15" xfId="0" applyFont="1" applyFill="1" applyBorder="1" applyAlignment="1">
      <alignment horizontal="right"/>
    </xf>
    <xf numFmtId="0" fontId="0" fillId="3" borderId="15" xfId="0" applyFont="1" applyFill="1" applyBorder="1" applyAlignment="1">
      <alignment/>
    </xf>
    <xf numFmtId="0" fontId="1" fillId="3" borderId="1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3" fontId="1" fillId="0" borderId="47" xfId="0" applyNumberFormat="1" applyFont="1" applyBorder="1" applyAlignment="1">
      <alignment horizontal="center" vertical="center"/>
    </xf>
    <xf numFmtId="3" fontId="1" fillId="0" borderId="48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3" fontId="7" fillId="3" borderId="14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3" fontId="4" fillId="3" borderId="11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horizontal="right" wrapText="1"/>
    </xf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>
      <alignment/>
    </xf>
    <xf numFmtId="0" fontId="3" fillId="3" borderId="3" xfId="0" applyFont="1" applyFill="1" applyBorder="1" applyAlignment="1">
      <alignment wrapText="1"/>
    </xf>
    <xf numFmtId="3" fontId="0" fillId="3" borderId="8" xfId="0" applyNumberFormat="1" applyFont="1" applyFill="1" applyBorder="1" applyAlignment="1">
      <alignment horizontal="right" wrapText="1"/>
    </xf>
    <xf numFmtId="3" fontId="3" fillId="3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/>
    </xf>
    <xf numFmtId="3" fontId="8" fillId="0" borderId="2" xfId="0" applyNumberFormat="1" applyFont="1" applyBorder="1" applyAlignment="1">
      <alignment horizontal="center"/>
    </xf>
    <xf numFmtId="0" fontId="0" fillId="0" borderId="37" xfId="0" applyFont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52" xfId="0" applyNumberFormat="1" applyFont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4" fillId="3" borderId="4" xfId="0" applyFont="1" applyFill="1" applyBorder="1" applyAlignment="1">
      <alignment wrapText="1"/>
    </xf>
    <xf numFmtId="3" fontId="4" fillId="3" borderId="4" xfId="0" applyNumberFormat="1" applyFont="1" applyFill="1" applyBorder="1" applyAlignment="1">
      <alignment wrapText="1"/>
    </xf>
    <xf numFmtId="3" fontId="4" fillId="3" borderId="53" xfId="0" applyNumberFormat="1" applyFont="1" applyFill="1" applyBorder="1" applyAlignment="1">
      <alignment wrapText="1"/>
    </xf>
    <xf numFmtId="3" fontId="1" fillId="3" borderId="5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 wrapText="1"/>
    </xf>
    <xf numFmtId="3" fontId="1" fillId="3" borderId="37" xfId="0" applyNumberFormat="1" applyFont="1" applyFill="1" applyBorder="1" applyAlignment="1">
      <alignment wrapText="1"/>
    </xf>
    <xf numFmtId="3" fontId="1" fillId="3" borderId="18" xfId="0" applyNumberFormat="1" applyFont="1" applyFill="1" applyBorder="1" applyAlignment="1">
      <alignment wrapText="1"/>
    </xf>
    <xf numFmtId="3" fontId="0" fillId="3" borderId="5" xfId="0" applyNumberFormat="1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" xfId="0" applyBorder="1" applyAlignment="1">
      <alignment wrapText="1"/>
    </xf>
    <xf numFmtId="3" fontId="0" fillId="0" borderId="54" xfId="0" applyNumberFormat="1" applyBorder="1" applyAlignment="1">
      <alignment wrapText="1"/>
    </xf>
    <xf numFmtId="3" fontId="0" fillId="0" borderId="16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3" fontId="3" fillId="0" borderId="55" xfId="0" applyNumberFormat="1" applyFont="1" applyBorder="1" applyAlignment="1">
      <alignment wrapText="1"/>
    </xf>
    <xf numFmtId="3" fontId="0" fillId="3" borderId="8" xfId="0" applyNumberFormat="1" applyFont="1" applyFill="1" applyBorder="1" applyAlignment="1">
      <alignment wrapText="1"/>
    </xf>
    <xf numFmtId="3" fontId="3" fillId="3" borderId="3" xfId="0" applyNumberFormat="1" applyFont="1" applyFill="1" applyBorder="1" applyAlignment="1">
      <alignment wrapText="1"/>
    </xf>
    <xf numFmtId="0" fontId="3" fillId="0" borderId="55" xfId="0" applyFont="1" applyBorder="1" applyAlignment="1">
      <alignment/>
    </xf>
    <xf numFmtId="0" fontId="3" fillId="0" borderId="55" xfId="0" applyFont="1" applyBorder="1" applyAlignment="1">
      <alignment wrapText="1"/>
    </xf>
    <xf numFmtId="0" fontId="1" fillId="3" borderId="2" xfId="0" applyFont="1" applyFill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/>
    </xf>
    <xf numFmtId="0" fontId="1" fillId="3" borderId="11" xfId="0" applyFont="1" applyFill="1" applyBorder="1" applyAlignment="1">
      <alignment wrapText="1"/>
    </xf>
    <xf numFmtId="3" fontId="1" fillId="3" borderId="11" xfId="0" applyNumberFormat="1" applyFont="1" applyFill="1" applyBorder="1" applyAlignment="1">
      <alignment/>
    </xf>
    <xf numFmtId="0" fontId="12" fillId="3" borderId="56" xfId="0" applyFont="1" applyFill="1" applyBorder="1" applyAlignment="1">
      <alignment horizontal="left" wrapText="1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0" fillId="3" borderId="16" xfId="0" applyNumberFormat="1" applyFont="1" applyFill="1" applyBorder="1" applyAlignment="1">
      <alignment horizontal="right" wrapText="1"/>
    </xf>
    <xf numFmtId="3" fontId="3" fillId="3" borderId="16" xfId="0" applyNumberFormat="1" applyFont="1" applyFill="1" applyBorder="1" applyAlignment="1">
      <alignment horizontal="right" wrapText="1"/>
    </xf>
    <xf numFmtId="0" fontId="3" fillId="0" borderId="12" xfId="0" applyFont="1" applyBorder="1" applyAlignment="1">
      <alignment wrapText="1"/>
    </xf>
    <xf numFmtId="0" fontId="8" fillId="3" borderId="13" xfId="0" applyFont="1" applyFill="1" applyBorder="1" applyAlignment="1">
      <alignment horizontal="center" vertical="center"/>
    </xf>
    <xf numFmtId="3" fontId="13" fillId="0" borderId="57" xfId="0" applyNumberFormat="1" applyAlignment="1">
      <alignment horizontal="center" vertical="center"/>
    </xf>
    <xf numFmtId="3" fontId="13" fillId="0" borderId="40" xfId="0" applyNumberFormat="1" applyAlignment="1">
      <alignment horizontal="center" vertical="center"/>
    </xf>
    <xf numFmtId="3" fontId="23" fillId="0" borderId="57" xfId="0" applyNumberFormat="1" applyFill="1" applyAlignment="1">
      <alignment horizontal="center" vertical="center"/>
    </xf>
    <xf numFmtId="3" fontId="23" fillId="0" borderId="40" xfId="0" applyNumberFormat="1" applyFill="1" applyAlignment="1">
      <alignment horizontal="center" vertical="center"/>
    </xf>
    <xf numFmtId="3" fontId="8" fillId="0" borderId="2" xfId="0" applyNumberFormat="1" applyFont="1" applyBorder="1" applyAlignment="1">
      <alignment horizontal="center" wrapText="1"/>
    </xf>
    <xf numFmtId="3" fontId="0" fillId="0" borderId="13" xfId="0" applyNumberFormat="1" applyFont="1" applyBorder="1" applyAlignment="1">
      <alignment/>
    </xf>
    <xf numFmtId="3" fontId="19" fillId="0" borderId="58" xfId="0" applyNumberFormat="1" applyFont="1" applyFill="1" applyBorder="1" applyAlignment="1">
      <alignment horizontal="right"/>
    </xf>
    <xf numFmtId="3" fontId="16" fillId="0" borderId="41" xfId="0" applyNumberFormat="1" applyAlignment="1">
      <alignment horizontal="right"/>
    </xf>
    <xf numFmtId="3" fontId="14" fillId="5" borderId="59" xfId="0" applyNumberFormat="1" applyAlignment="1">
      <alignment horizontal="right"/>
    </xf>
    <xf numFmtId="3" fontId="17" fillId="5" borderId="40" xfId="0" applyNumberFormat="1" applyAlignment="1">
      <alignment horizontal="center"/>
    </xf>
    <xf numFmtId="3" fontId="16" fillId="0" borderId="41" xfId="0" applyNumberFormat="1" applyFont="1" applyAlignment="1">
      <alignment horizontal="right"/>
    </xf>
    <xf numFmtId="3" fontId="19" fillId="0" borderId="41" xfId="0" applyNumberFormat="1" applyFont="1" applyFill="1" applyBorder="1" applyAlignment="1">
      <alignment wrapText="1"/>
    </xf>
    <xf numFmtId="3" fontId="24" fillId="0" borderId="4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3" fillId="3" borderId="3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3" fontId="8" fillId="3" borderId="1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3" xfId="0" applyFont="1" applyBorder="1" applyAlignment="1">
      <alignment wrapText="1"/>
    </xf>
    <xf numFmtId="0" fontId="0" fillId="3" borderId="0" xfId="0" applyFill="1" applyAlignment="1">
      <alignment/>
    </xf>
    <xf numFmtId="0" fontId="1" fillId="2" borderId="5" xfId="0" applyFont="1" applyFill="1" applyBorder="1" applyAlignment="1">
      <alignment wrapText="1"/>
    </xf>
    <xf numFmtId="0" fontId="13" fillId="0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3" fontId="3" fillId="0" borderId="2" xfId="0" applyNumberFormat="1" applyFont="1" applyBorder="1" applyAlignment="1">
      <alignment/>
    </xf>
    <xf numFmtId="3" fontId="4" fillId="3" borderId="11" xfId="0" applyNumberFormat="1" applyFont="1" applyFill="1" applyBorder="1" applyAlignment="1">
      <alignment/>
    </xf>
    <xf numFmtId="0" fontId="0" fillId="3" borderId="5" xfId="0" applyFont="1" applyFill="1" applyBorder="1" applyAlignment="1">
      <alignment wrapText="1"/>
    </xf>
    <xf numFmtId="0" fontId="3" fillId="3" borderId="13" xfId="0" applyFont="1" applyFill="1" applyBorder="1" applyAlignment="1">
      <alignment/>
    </xf>
    <xf numFmtId="3" fontId="0" fillId="3" borderId="13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0" fillId="3" borderId="13" xfId="0" applyFont="1" applyFill="1" applyBorder="1" applyAlignment="1">
      <alignment/>
    </xf>
    <xf numFmtId="3" fontId="8" fillId="0" borderId="2" xfId="0" applyNumberFormat="1" applyFont="1" applyBorder="1" applyAlignment="1">
      <alignment/>
    </xf>
    <xf numFmtId="3" fontId="0" fillId="3" borderId="13" xfId="0" applyNumberFormat="1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13" fillId="3" borderId="0" xfId="0" applyFill="1" applyAlignment="1">
      <alignment/>
    </xf>
    <xf numFmtId="0" fontId="0" fillId="0" borderId="2" xfId="0" applyFont="1" applyBorder="1" applyAlignment="1">
      <alignment wrapText="1"/>
    </xf>
    <xf numFmtId="3" fontId="8" fillId="0" borderId="13" xfId="0" applyNumberFormat="1" applyFont="1" applyBorder="1" applyAlignment="1">
      <alignment horizontal="center"/>
    </xf>
    <xf numFmtId="0" fontId="0" fillId="0" borderId="37" xfId="0" applyFont="1" applyBorder="1" applyAlignment="1">
      <alignment wrapText="1"/>
    </xf>
    <xf numFmtId="3" fontId="0" fillId="0" borderId="37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7" xfId="0" applyFont="1" applyBorder="1" applyAlignment="1">
      <alignment wrapText="1"/>
    </xf>
    <xf numFmtId="3" fontId="1" fillId="2" borderId="5" xfId="0" applyNumberFormat="1" applyFont="1" applyFill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3" fillId="0" borderId="2" xfId="0" applyFont="1" applyFill="1" applyBorder="1" applyAlignment="1">
      <alignment/>
    </xf>
    <xf numFmtId="3" fontId="19" fillId="0" borderId="3" xfId="0" applyNumberFormat="1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0" fillId="3" borderId="3" xfId="0" applyFont="1" applyFill="1" applyBorder="1" applyAlignment="1">
      <alignment wrapText="1"/>
    </xf>
    <xf numFmtId="3" fontId="13" fillId="0" borderId="0" xfId="0" applyNumberFormat="1" applyFont="1" applyFill="1" applyAlignment="1">
      <alignment/>
    </xf>
    <xf numFmtId="3" fontId="3" fillId="3" borderId="0" xfId="0" applyNumberFormat="1" applyFont="1" applyFill="1" applyAlignment="1">
      <alignment/>
    </xf>
    <xf numFmtId="3" fontId="0" fillId="0" borderId="17" xfId="0" applyNumberFormat="1" applyFont="1" applyBorder="1" applyAlignment="1">
      <alignment/>
    </xf>
    <xf numFmtId="3" fontId="0" fillId="0" borderId="60" xfId="0" applyNumberFormat="1" applyFont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2" borderId="55" xfId="0" applyNumberFormat="1" applyFont="1" applyFill="1" applyBorder="1" applyAlignment="1">
      <alignment/>
    </xf>
    <xf numFmtId="3" fontId="0" fillId="0" borderId="61" xfId="0" applyNumberFormat="1" applyFont="1" applyBorder="1" applyAlignment="1">
      <alignment wrapText="1"/>
    </xf>
    <xf numFmtId="3" fontId="1" fillId="0" borderId="55" xfId="0" applyNumberFormat="1" applyFont="1" applyBorder="1" applyAlignment="1">
      <alignment/>
    </xf>
    <xf numFmtId="3" fontId="0" fillId="0" borderId="62" xfId="0" applyNumberFormat="1" applyFont="1" applyBorder="1" applyAlignment="1">
      <alignment wrapText="1"/>
    </xf>
    <xf numFmtId="3" fontId="1" fillId="0" borderId="30" xfId="0" applyNumberFormat="1" applyFont="1" applyBorder="1" applyAlignment="1">
      <alignment/>
    </xf>
    <xf numFmtId="3" fontId="1" fillId="2" borderId="33" xfId="0" applyNumberFormat="1" applyFont="1" applyFill="1" applyBorder="1" applyAlignment="1">
      <alignment/>
    </xf>
    <xf numFmtId="3" fontId="0" fillId="0" borderId="33" xfId="0" applyNumberFormat="1" applyFont="1" applyBorder="1" applyAlignment="1">
      <alignment wrapText="1"/>
    </xf>
    <xf numFmtId="3" fontId="1" fillId="0" borderId="29" xfId="0" applyNumberFormat="1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vertical="center"/>
    </xf>
    <xf numFmtId="3" fontId="1" fillId="2" borderId="55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3" fontId="1" fillId="0" borderId="55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3" xfId="0" applyFont="1" applyBorder="1" applyAlignment="1">
      <alignment/>
    </xf>
    <xf numFmtId="3" fontId="0" fillId="0" borderId="55" xfId="0" applyNumberFormat="1" applyFont="1" applyBorder="1" applyAlignment="1">
      <alignment/>
    </xf>
    <xf numFmtId="0" fontId="1" fillId="6" borderId="3" xfId="0" applyFont="1" applyFill="1" applyBorder="1" applyAlignment="1">
      <alignment/>
    </xf>
    <xf numFmtId="0" fontId="1" fillId="6" borderId="3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1" fillId="6" borderId="3" xfId="0" applyNumberFormat="1" applyFont="1" applyFill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3" fillId="0" borderId="3" xfId="0" applyFont="1" applyBorder="1" applyAlignment="1">
      <alignment vertical="top"/>
    </xf>
    <xf numFmtId="3" fontId="3" fillId="0" borderId="3" xfId="0" applyNumberFormat="1" applyFont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1" fillId="2" borderId="3" xfId="0" applyFont="1" applyFill="1" applyBorder="1" applyAlignment="1" quotePrefix="1">
      <alignment horizontal="right"/>
    </xf>
    <xf numFmtId="3" fontId="8" fillId="0" borderId="2" xfId="0" applyNumberFormat="1" applyFont="1" applyBorder="1" applyAlignment="1">
      <alignment horizontal="right"/>
    </xf>
    <xf numFmtId="0" fontId="1" fillId="0" borderId="3" xfId="0" applyFont="1" applyBorder="1" applyAlignment="1" quotePrefix="1">
      <alignment horizontal="right"/>
    </xf>
    <xf numFmtId="3" fontId="1" fillId="0" borderId="2" xfId="0" applyNumberFormat="1" applyFont="1" applyBorder="1" applyAlignment="1">
      <alignment wrapText="1"/>
    </xf>
    <xf numFmtId="3" fontId="14" fillId="2" borderId="41" xfId="0" applyNumberFormat="1" applyFont="1" applyFill="1" applyAlignment="1">
      <alignment wrapText="1"/>
    </xf>
    <xf numFmtId="3" fontId="0" fillId="0" borderId="0" xfId="0" applyNumberFormat="1" applyFont="1" applyFill="1" applyAlignment="1">
      <alignment/>
    </xf>
    <xf numFmtId="3" fontId="3" fillId="3" borderId="2" xfId="0" applyNumberFormat="1" applyFont="1" applyFill="1" applyBorder="1" applyAlignment="1">
      <alignment wrapText="1"/>
    </xf>
    <xf numFmtId="0" fontId="0" fillId="0" borderId="63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4" fillId="0" borderId="64" xfId="0" applyBorder="1" applyAlignment="1">
      <alignment horizontal="center" vertical="center" wrapText="1"/>
    </xf>
    <xf numFmtId="0" fontId="16" fillId="0" borderId="65" xfId="0" applyBorder="1" applyAlignment="1">
      <alignment/>
    </xf>
    <xf numFmtId="0" fontId="13" fillId="0" borderId="66" xfId="0" applyBorder="1" applyAlignment="1">
      <alignment horizontal="center"/>
    </xf>
    <xf numFmtId="0" fontId="13" fillId="0" borderId="66" xfId="0" applyBorder="1" applyAlignment="1">
      <alignment/>
    </xf>
    <xf numFmtId="0" fontId="13" fillId="0" borderId="66" xfId="0" applyFill="1" applyBorder="1" applyAlignment="1">
      <alignment/>
    </xf>
    <xf numFmtId="0" fontId="3" fillId="3" borderId="55" xfId="0" applyFont="1" applyFill="1" applyBorder="1" applyAlignment="1">
      <alignment/>
    </xf>
    <xf numFmtId="0" fontId="3" fillId="2" borderId="61" xfId="0" applyFont="1" applyFill="1" applyBorder="1" applyAlignment="1">
      <alignment/>
    </xf>
    <xf numFmtId="0" fontId="0" fillId="3" borderId="67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6" fillId="0" borderId="41" xfId="0" applyBorder="1" applyAlignment="1">
      <alignment horizontal="left"/>
    </xf>
    <xf numFmtId="0" fontId="14" fillId="5" borderId="59" xfId="0" applyFont="1" applyBorder="1" applyAlignment="1">
      <alignment horizontal="center"/>
    </xf>
    <xf numFmtId="0" fontId="17" fillId="5" borderId="40" xfId="0" applyBorder="1" applyAlignment="1">
      <alignment horizontal="center"/>
    </xf>
    <xf numFmtId="0" fontId="4" fillId="3" borderId="68" xfId="0" applyFont="1" applyFill="1" applyBorder="1" applyAlignment="1">
      <alignment/>
    </xf>
    <xf numFmtId="0" fontId="1" fillId="2" borderId="69" xfId="0" applyFont="1" applyFill="1" applyBorder="1" applyAlignment="1">
      <alignment wrapText="1"/>
    </xf>
    <xf numFmtId="0" fontId="0" fillId="3" borderId="70" xfId="0" applyFont="1" applyFill="1" applyBorder="1" applyAlignment="1">
      <alignment wrapText="1"/>
    </xf>
    <xf numFmtId="0" fontId="19" fillId="0" borderId="69" xfId="0" applyFont="1" applyFill="1" applyBorder="1" applyAlignment="1">
      <alignment/>
    </xf>
    <xf numFmtId="0" fontId="1" fillId="0" borderId="55" xfId="0" applyFont="1" applyBorder="1" applyAlignment="1">
      <alignment/>
    </xf>
    <xf numFmtId="0" fontId="1" fillId="2" borderId="55" xfId="0" applyFont="1" applyFill="1" applyBorder="1" applyAlignment="1">
      <alignment/>
    </xf>
    <xf numFmtId="0" fontId="19" fillId="5" borderId="71" xfId="0" applyBorder="1" applyAlignment="1">
      <alignment/>
    </xf>
    <xf numFmtId="0" fontId="19" fillId="2" borderId="71" xfId="0" applyFill="1" applyBorder="1" applyAlignment="1">
      <alignment/>
    </xf>
    <xf numFmtId="49" fontId="13" fillId="0" borderId="72" xfId="0" applyNumberFormat="1" applyFont="1" applyFill="1" applyBorder="1" applyAlignment="1">
      <alignment horizontal="right"/>
    </xf>
    <xf numFmtId="0" fontId="13" fillId="0" borderId="71" xfId="0" applyFont="1" applyFill="1" applyBorder="1" applyAlignment="1">
      <alignment/>
    </xf>
    <xf numFmtId="0" fontId="4" fillId="0" borderId="68" xfId="0" applyFont="1" applyBorder="1" applyAlignment="1">
      <alignment wrapText="1"/>
    </xf>
    <xf numFmtId="0" fontId="4" fillId="3" borderId="68" xfId="0" applyFont="1" applyFill="1" applyBorder="1" applyAlignment="1">
      <alignment wrapText="1"/>
    </xf>
    <xf numFmtId="0" fontId="14" fillId="2" borderId="41" xfId="0" applyFont="1" applyFill="1" applyBorder="1" applyAlignment="1">
      <alignment wrapText="1"/>
    </xf>
    <xf numFmtId="0" fontId="0" fillId="0" borderId="70" xfId="0" applyFont="1" applyBorder="1" applyAlignment="1">
      <alignment wrapText="1"/>
    </xf>
    <xf numFmtId="0" fontId="13" fillId="0" borderId="73" xfId="0" applyFill="1" applyBorder="1" applyAlignment="1">
      <alignment/>
    </xf>
    <xf numFmtId="0" fontId="19" fillId="5" borderId="74" xfId="0" applyBorder="1" applyAlignment="1">
      <alignment/>
    </xf>
    <xf numFmtId="0" fontId="14" fillId="2" borderId="74" xfId="0" applyFill="1" applyBorder="1" applyAlignment="1">
      <alignment/>
    </xf>
    <xf numFmtId="49" fontId="13" fillId="0" borderId="73" xfId="0" applyNumberFormat="1" applyFont="1" applyFill="1" applyBorder="1" applyAlignment="1">
      <alignment horizontal="right"/>
    </xf>
    <xf numFmtId="0" fontId="13" fillId="0" borderId="75" xfId="0" applyFont="1" applyFill="1" applyBorder="1" applyAlignment="1">
      <alignment/>
    </xf>
    <xf numFmtId="0" fontId="13" fillId="0" borderId="4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4" fillId="3" borderId="73" xfId="0" applyFont="1" applyFill="1" applyBorder="1" applyAlignment="1">
      <alignment/>
    </xf>
    <xf numFmtId="0" fontId="0" fillId="3" borderId="63" xfId="0" applyFill="1" applyBorder="1" applyAlignment="1">
      <alignment/>
    </xf>
    <xf numFmtId="0" fontId="14" fillId="0" borderId="76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>
      <alignment/>
    </xf>
    <xf numFmtId="0" fontId="1" fillId="2" borderId="77" xfId="0" applyFont="1" applyFill="1" applyBorder="1" applyAlignment="1">
      <alignment wrapText="1"/>
    </xf>
    <xf numFmtId="0" fontId="27" fillId="0" borderId="2" xfId="0" applyFont="1" applyBorder="1" applyAlignment="1">
      <alignment vertical="top"/>
    </xf>
    <xf numFmtId="3" fontId="4" fillId="0" borderId="4" xfId="0" applyNumberFormat="1" applyFont="1" applyBorder="1" applyAlignment="1">
      <alignment horizontal="left"/>
    </xf>
    <xf numFmtId="0" fontId="16" fillId="0" borderId="78" xfId="0" applyFont="1" applyAlignment="1">
      <alignment horizontal="center" vertical="center"/>
    </xf>
    <xf numFmtId="0" fontId="0" fillId="3" borderId="13" xfId="0" applyFont="1" applyFill="1" applyBorder="1" applyAlignment="1">
      <alignment wrapText="1"/>
    </xf>
    <xf numFmtId="3" fontId="1" fillId="7" borderId="16" xfId="0" applyNumberFormat="1" applyFont="1" applyFill="1" applyBorder="1" applyAlignment="1">
      <alignment wrapText="1"/>
    </xf>
    <xf numFmtId="3" fontId="0" fillId="0" borderId="16" xfId="0" applyNumberFormat="1" applyFont="1" applyBorder="1" applyAlignment="1">
      <alignment wrapText="1"/>
    </xf>
    <xf numFmtId="3" fontId="3" fillId="0" borderId="79" xfId="0" applyNumberFormat="1" applyFont="1" applyBorder="1" applyAlignment="1">
      <alignment wrapText="1"/>
    </xf>
    <xf numFmtId="3" fontId="3" fillId="0" borderId="80" xfId="0" applyNumberFormat="1" applyFont="1" applyBorder="1" applyAlignment="1">
      <alignment wrapText="1"/>
    </xf>
    <xf numFmtId="0" fontId="3" fillId="0" borderId="79" xfId="0" applyFont="1" applyBorder="1" applyAlignment="1">
      <alignment wrapText="1"/>
    </xf>
    <xf numFmtId="3" fontId="1" fillId="2" borderId="77" xfId="0" applyNumberFormat="1" applyFont="1" applyFill="1" applyBorder="1" applyAlignment="1">
      <alignment wrapText="1"/>
    </xf>
    <xf numFmtId="0" fontId="3" fillId="0" borderId="81" xfId="0" applyFont="1" applyBorder="1" applyAlignment="1">
      <alignment wrapText="1"/>
    </xf>
    <xf numFmtId="3" fontId="3" fillId="0" borderId="81" xfId="0" applyNumberFormat="1" applyFont="1" applyBorder="1" applyAlignment="1">
      <alignment wrapText="1"/>
    </xf>
    <xf numFmtId="49" fontId="1" fillId="2" borderId="5" xfId="0" applyNumberFormat="1" applyFont="1" applyFill="1" applyBorder="1" applyAlignment="1">
      <alignment horizontal="right"/>
    </xf>
    <xf numFmtId="0" fontId="4" fillId="3" borderId="81" xfId="0" applyFont="1" applyFill="1" applyBorder="1" applyAlignment="1">
      <alignment wrapText="1"/>
    </xf>
    <xf numFmtId="3" fontId="4" fillId="3" borderId="81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>
      <alignment wrapText="1"/>
    </xf>
    <xf numFmtId="3" fontId="1" fillId="7" borderId="0" xfId="0" applyNumberFormat="1" applyFont="1" applyFill="1" applyBorder="1" applyAlignment="1">
      <alignment wrapText="1"/>
    </xf>
    <xf numFmtId="3" fontId="1" fillId="3" borderId="16" xfId="0" applyNumberFormat="1" applyFont="1" applyFill="1" applyBorder="1" applyAlignment="1">
      <alignment wrapText="1"/>
    </xf>
    <xf numFmtId="3" fontId="3" fillId="0" borderId="16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0" fontId="8" fillId="3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3" fontId="3" fillId="0" borderId="79" xfId="0" applyNumberFormat="1" applyFont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37" xfId="0" applyFont="1" applyFill="1" applyBorder="1" applyAlignment="1">
      <alignment wrapText="1"/>
    </xf>
    <xf numFmtId="3" fontId="0" fillId="3" borderId="2" xfId="0" applyNumberFormat="1" applyFont="1" applyFill="1" applyBorder="1" applyAlignment="1">
      <alignment horizontal="right" wrapText="1"/>
    </xf>
    <xf numFmtId="3" fontId="3" fillId="3" borderId="18" xfId="0" applyNumberFormat="1" applyFont="1" applyFill="1" applyBorder="1" applyAlignment="1">
      <alignment horizontal="right" wrapText="1"/>
    </xf>
    <xf numFmtId="3" fontId="1" fillId="0" borderId="18" xfId="0" applyNumberFormat="1" applyFont="1" applyBorder="1" applyAlignment="1">
      <alignment wrapText="1"/>
    </xf>
    <xf numFmtId="3" fontId="1" fillId="2" borderId="5" xfId="0" applyNumberFormat="1" applyFont="1" applyFill="1" applyBorder="1" applyAlignment="1">
      <alignment/>
    </xf>
    <xf numFmtId="3" fontId="0" fillId="3" borderId="5" xfId="0" applyNumberFormat="1" applyFont="1" applyFill="1" applyBorder="1" applyAlignment="1">
      <alignment horizontal="right"/>
    </xf>
    <xf numFmtId="3" fontId="0" fillId="3" borderId="5" xfId="0" applyNumberFormat="1" applyFont="1" applyFill="1" applyBorder="1" applyAlignment="1">
      <alignment horizontal="right" wrapText="1"/>
    </xf>
    <xf numFmtId="3" fontId="3" fillId="3" borderId="18" xfId="0" applyNumberFormat="1" applyFont="1" applyFill="1" applyBorder="1" applyAlignment="1">
      <alignment wrapText="1"/>
    </xf>
    <xf numFmtId="0" fontId="13" fillId="0" borderId="73" xfId="0" applyFont="1" applyFill="1" applyBorder="1" applyAlignment="1">
      <alignment/>
    </xf>
    <xf numFmtId="0" fontId="14" fillId="2" borderId="82" xfId="0" applyFill="1" applyBorder="1" applyAlignment="1">
      <alignment/>
    </xf>
    <xf numFmtId="0" fontId="19" fillId="2" borderId="83" xfId="0" applyFill="1" applyBorder="1" applyAlignment="1">
      <alignment/>
    </xf>
    <xf numFmtId="0" fontId="1" fillId="0" borderId="13" xfId="0" applyFont="1" applyBorder="1" applyAlignment="1">
      <alignment/>
    </xf>
    <xf numFmtId="0" fontId="13" fillId="3" borderId="0" xfId="0" applyFill="1" applyBorder="1" applyAlignment="1">
      <alignment/>
    </xf>
    <xf numFmtId="0" fontId="0" fillId="3" borderId="0" xfId="0" applyFill="1" applyBorder="1" applyAlignment="1">
      <alignment/>
    </xf>
    <xf numFmtId="3" fontId="13" fillId="0" borderId="0" xfId="0" applyNumberFormat="1" applyAlignment="1">
      <alignment/>
    </xf>
    <xf numFmtId="0" fontId="22" fillId="0" borderId="40" xfId="0" applyFont="1" applyFill="1" applyBorder="1" applyAlignment="1">
      <alignment horizontal="center" vertical="center"/>
    </xf>
    <xf numFmtId="3" fontId="19" fillId="0" borderId="4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81" xfId="0" applyFont="1" applyBorder="1" applyAlignment="1">
      <alignment/>
    </xf>
    <xf numFmtId="3" fontId="4" fillId="0" borderId="81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5" xfId="0" applyFont="1" applyBorder="1" applyAlignment="1">
      <alignment horizontal="left" wrapText="1"/>
    </xf>
    <xf numFmtId="3" fontId="4" fillId="0" borderId="5" xfId="0" applyNumberFormat="1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right"/>
    </xf>
    <xf numFmtId="0" fontId="9" fillId="0" borderId="5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/>
    </xf>
    <xf numFmtId="0" fontId="9" fillId="0" borderId="5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" fillId="0" borderId="56" xfId="0" applyFont="1" applyBorder="1" applyAlignment="1">
      <alignment/>
    </xf>
    <xf numFmtId="3" fontId="1" fillId="0" borderId="56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3" fontId="4" fillId="0" borderId="4" xfId="0" applyNumberFormat="1" applyFont="1" applyFill="1" applyBorder="1" applyAlignment="1">
      <alignment/>
    </xf>
    <xf numFmtId="0" fontId="3" fillId="3" borderId="80" xfId="0" applyFont="1" applyFill="1" applyBorder="1" applyAlignment="1">
      <alignment wrapText="1"/>
    </xf>
    <xf numFmtId="3" fontId="0" fillId="0" borderId="79" xfId="0" applyNumberFormat="1" applyFont="1" applyBorder="1" applyAlignment="1">
      <alignment wrapText="1"/>
    </xf>
    <xf numFmtId="3" fontId="0" fillId="0" borderId="80" xfId="0" applyNumberFormat="1" applyFont="1" applyBorder="1" applyAlignment="1">
      <alignment wrapText="1"/>
    </xf>
    <xf numFmtId="3" fontId="3" fillId="0" borderId="84" xfId="0" applyNumberFormat="1" applyFont="1" applyBorder="1" applyAlignment="1">
      <alignment/>
    </xf>
    <xf numFmtId="3" fontId="3" fillId="0" borderId="85" xfId="0" applyNumberFormat="1" applyFont="1" applyBorder="1" applyAlignment="1">
      <alignment wrapText="1"/>
    </xf>
    <xf numFmtId="3" fontId="3" fillId="0" borderId="7" xfId="0" applyNumberFormat="1" applyFont="1" applyBorder="1" applyAlignment="1">
      <alignment/>
    </xf>
    <xf numFmtId="0" fontId="0" fillId="0" borderId="79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79" xfId="0" applyFont="1" applyBorder="1" applyAlignment="1">
      <alignment horizontal="left"/>
    </xf>
    <xf numFmtId="3" fontId="0" fillId="0" borderId="79" xfId="0" applyNumberFormat="1" applyFont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left"/>
    </xf>
    <xf numFmtId="3" fontId="3" fillId="0" borderId="81" xfId="0" applyNumberFormat="1" applyFont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55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3" fillId="3" borderId="55" xfId="0" applyFont="1" applyFill="1" applyBorder="1" applyAlignment="1">
      <alignment/>
    </xf>
    <xf numFmtId="0" fontId="28" fillId="0" borderId="38" xfId="0" applyFont="1" applyAlignment="1">
      <alignment horizontal="center"/>
    </xf>
    <xf numFmtId="0" fontId="28" fillId="0" borderId="64" xfId="0" applyFont="1" applyBorder="1" applyAlignment="1">
      <alignment horizontal="center"/>
    </xf>
    <xf numFmtId="0" fontId="28" fillId="0" borderId="76" xfId="0" applyFont="1" applyBorder="1" applyAlignment="1">
      <alignment horizontal="center" vertical="center"/>
    </xf>
    <xf numFmtId="3" fontId="28" fillId="0" borderId="38" xfId="0" applyFont="1" applyAlignment="1">
      <alignment horizontal="center" vertical="center"/>
    </xf>
    <xf numFmtId="0" fontId="1" fillId="3" borderId="55" xfId="0" applyFont="1" applyFill="1" applyBorder="1" applyAlignment="1">
      <alignment wrapText="1"/>
    </xf>
    <xf numFmtId="0" fontId="0" fillId="3" borderId="86" xfId="0" applyFont="1" applyFill="1" applyBorder="1" applyAlignment="1">
      <alignment wrapText="1"/>
    </xf>
    <xf numFmtId="3" fontId="1" fillId="0" borderId="13" xfId="0" applyNumberFormat="1" applyFont="1" applyBorder="1" applyAlignment="1">
      <alignment wrapText="1"/>
    </xf>
    <xf numFmtId="0" fontId="13" fillId="0" borderId="16" xfId="0" applyFont="1" applyFill="1" applyBorder="1" applyAlignment="1">
      <alignment/>
    </xf>
    <xf numFmtId="3" fontId="19" fillId="0" borderId="2" xfId="0" applyNumberFormat="1" applyFont="1" applyFill="1" applyBorder="1" applyAlignment="1">
      <alignment/>
    </xf>
    <xf numFmtId="3" fontId="3" fillId="3" borderId="37" xfId="0" applyNumberFormat="1" applyFont="1" applyFill="1" applyBorder="1" applyAlignment="1">
      <alignment wrapText="1"/>
    </xf>
    <xf numFmtId="3" fontId="0" fillId="3" borderId="37" xfId="0" applyNumberFormat="1" applyFont="1" applyFill="1" applyBorder="1" applyAlignment="1">
      <alignment wrapText="1"/>
    </xf>
    <xf numFmtId="3" fontId="1" fillId="3" borderId="3" xfId="0" applyNumberFormat="1" applyFont="1" applyFill="1" applyBorder="1" applyAlignment="1">
      <alignment/>
    </xf>
    <xf numFmtId="3" fontId="3" fillId="3" borderId="18" xfId="0" applyNumberFormat="1" applyFont="1" applyFill="1" applyBorder="1" applyAlignment="1">
      <alignment/>
    </xf>
    <xf numFmtId="3" fontId="4" fillId="0" borderId="5" xfId="0" applyNumberFormat="1" applyFont="1" applyBorder="1" applyAlignment="1">
      <alignment/>
    </xf>
    <xf numFmtId="0" fontId="0" fillId="3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4" fillId="3" borderId="81" xfId="0" applyNumberFormat="1" applyFont="1" applyFill="1" applyBorder="1" applyAlignment="1">
      <alignment wrapText="1"/>
    </xf>
    <xf numFmtId="3" fontId="3" fillId="3" borderId="13" xfId="0" applyNumberFormat="1" applyFont="1" applyFill="1" applyBorder="1" applyAlignment="1">
      <alignment wrapText="1"/>
    </xf>
    <xf numFmtId="0" fontId="3" fillId="3" borderId="13" xfId="0" applyFont="1" applyFill="1" applyBorder="1" applyAlignment="1">
      <alignment wrapText="1"/>
    </xf>
    <xf numFmtId="0" fontId="3" fillId="3" borderId="5" xfId="0" applyFont="1" applyFill="1" applyBorder="1" applyAlignment="1">
      <alignment/>
    </xf>
    <xf numFmtId="0" fontId="26" fillId="0" borderId="79" xfId="0" applyFont="1" applyBorder="1" applyAlignment="1">
      <alignment wrapText="1"/>
    </xf>
    <xf numFmtId="0" fontId="26" fillId="0" borderId="80" xfId="0" applyFont="1" applyBorder="1" applyAlignment="1">
      <alignment wrapText="1"/>
    </xf>
    <xf numFmtId="3" fontId="3" fillId="0" borderId="80" xfId="0" applyNumberFormat="1" applyFont="1" applyBorder="1" applyAlignment="1">
      <alignment/>
    </xf>
    <xf numFmtId="0" fontId="19" fillId="0" borderId="87" xfId="0" applyFont="1" applyFill="1" applyBorder="1" applyAlignment="1">
      <alignment/>
    </xf>
    <xf numFmtId="3" fontId="0" fillId="3" borderId="2" xfId="0" applyNumberFormat="1" applyFont="1" applyFill="1" applyBorder="1" applyAlignment="1">
      <alignment wrapText="1"/>
    </xf>
    <xf numFmtId="0" fontId="13" fillId="0" borderId="88" xfId="0" applyFont="1" applyFill="1" applyBorder="1" applyAlignment="1">
      <alignment/>
    </xf>
    <xf numFmtId="0" fontId="19" fillId="0" borderId="88" xfId="0" applyFont="1" applyFill="1" applyBorder="1" applyAlignment="1">
      <alignment/>
    </xf>
    <xf numFmtId="3" fontId="19" fillId="0" borderId="88" xfId="0" applyNumberFormat="1" applyFont="1" applyFill="1" applyBorder="1" applyAlignment="1">
      <alignment/>
    </xf>
    <xf numFmtId="0" fontId="3" fillId="0" borderId="2" xfId="0" applyFont="1" applyBorder="1" applyAlignment="1">
      <alignment wrapText="1"/>
    </xf>
    <xf numFmtId="3" fontId="3" fillId="3" borderId="89" xfId="0" applyNumberFormat="1" applyFont="1" applyFill="1" applyBorder="1" applyAlignment="1">
      <alignment wrapText="1"/>
    </xf>
    <xf numFmtId="3" fontId="1" fillId="3" borderId="3" xfId="0" applyNumberFormat="1" applyFont="1" applyFill="1" applyBorder="1" applyAlignment="1">
      <alignment horizontal="right" wrapText="1"/>
    </xf>
    <xf numFmtId="0" fontId="3" fillId="3" borderId="88" xfId="0" applyFont="1" applyFill="1" applyBorder="1" applyAlignment="1">
      <alignment horizontal="right"/>
    </xf>
    <xf numFmtId="0" fontId="3" fillId="3" borderId="88" xfId="0" applyFont="1" applyFill="1" applyBorder="1" applyAlignment="1">
      <alignment/>
    </xf>
    <xf numFmtId="0" fontId="3" fillId="0" borderId="88" xfId="0" applyFont="1" applyBorder="1" applyAlignment="1">
      <alignment/>
    </xf>
    <xf numFmtId="0" fontId="3" fillId="0" borderId="88" xfId="0" applyFont="1" applyBorder="1" applyAlignment="1">
      <alignment wrapText="1"/>
    </xf>
    <xf numFmtId="3" fontId="3" fillId="3" borderId="88" xfId="0" applyNumberFormat="1" applyFont="1" applyFill="1" applyBorder="1" applyAlignment="1">
      <alignment wrapText="1"/>
    </xf>
    <xf numFmtId="3" fontId="3" fillId="0" borderId="13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0" fillId="0" borderId="88" xfId="0" applyFont="1" applyBorder="1" applyAlignment="1">
      <alignment/>
    </xf>
    <xf numFmtId="3" fontId="3" fillId="0" borderId="88" xfId="0" applyNumberFormat="1" applyFont="1" applyBorder="1" applyAlignment="1">
      <alignment wrapText="1"/>
    </xf>
    <xf numFmtId="0" fontId="3" fillId="0" borderId="90" xfId="0" applyFont="1" applyBorder="1" applyAlignment="1">
      <alignment wrapText="1"/>
    </xf>
    <xf numFmtId="3" fontId="3" fillId="0" borderId="90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0" fillId="0" borderId="91" xfId="0" applyNumberFormat="1" applyFont="1" applyBorder="1" applyAlignment="1">
      <alignment/>
    </xf>
    <xf numFmtId="3" fontId="3" fillId="0" borderId="91" xfId="0" applyNumberFormat="1" applyFont="1" applyBorder="1" applyAlignment="1">
      <alignment/>
    </xf>
    <xf numFmtId="0" fontId="3" fillId="0" borderId="79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3" fillId="0" borderId="80" xfId="0" applyFont="1" applyBorder="1" applyAlignment="1">
      <alignment wrapText="1"/>
    </xf>
    <xf numFmtId="3" fontId="3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0" fillId="0" borderId="0" xfId="15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63" xfId="0" applyNumberFormat="1" applyFont="1" applyFill="1" applyBorder="1" applyAlignment="1">
      <alignment horizontal="center"/>
    </xf>
    <xf numFmtId="3" fontId="1" fillId="0" borderId="63" xfId="0" applyNumberFormat="1" applyFont="1" applyFill="1" applyBorder="1" applyAlignment="1">
      <alignment horizontal="left"/>
    </xf>
    <xf numFmtId="3" fontId="1" fillId="0" borderId="28" xfId="15" applyNumberFormat="1" applyFont="1" applyFill="1" applyBorder="1" applyAlignment="1">
      <alignment horizontal="center"/>
    </xf>
    <xf numFmtId="3" fontId="1" fillId="0" borderId="55" xfId="15" applyNumberFormat="1" applyFont="1" applyFill="1" applyBorder="1" applyAlignment="1">
      <alignment horizontal="center"/>
    </xf>
    <xf numFmtId="3" fontId="1" fillId="0" borderId="63" xfId="15" applyNumberFormat="1" applyFont="1" applyFill="1" applyBorder="1" applyAlignment="1">
      <alignment horizontal="center"/>
    </xf>
    <xf numFmtId="3" fontId="1" fillId="0" borderId="0" xfId="15" applyNumberFormat="1" applyFont="1" applyFill="1" applyBorder="1" applyAlignment="1">
      <alignment horizontal="center"/>
    </xf>
    <xf numFmtId="3" fontId="0" fillId="0" borderId="92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0" fillId="0" borderId="93" xfId="15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"/>
    </xf>
    <xf numFmtId="3" fontId="0" fillId="0" borderId="50" xfId="0" applyNumberFormat="1" applyFont="1" applyFill="1" applyBorder="1" applyAlignment="1">
      <alignment horizontal="centerContinuous"/>
    </xf>
    <xf numFmtId="3" fontId="0" fillId="0" borderId="93" xfId="0" applyNumberFormat="1" applyFont="1" applyFill="1" applyBorder="1" applyAlignment="1">
      <alignment horizontal="centerContinuous"/>
    </xf>
    <xf numFmtId="3" fontId="0" fillId="0" borderId="9" xfId="0" applyNumberFormat="1" applyFont="1" applyFill="1" applyBorder="1" applyAlignment="1">
      <alignment horizontal="centerContinuous"/>
    </xf>
    <xf numFmtId="0" fontId="1" fillId="0" borderId="94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Continuous"/>
    </xf>
    <xf numFmtId="3" fontId="0" fillId="0" borderId="0" xfId="0" applyNumberFormat="1" applyFont="1" applyFill="1" applyBorder="1" applyAlignment="1">
      <alignment horizontal="centerContinuous"/>
    </xf>
    <xf numFmtId="3" fontId="0" fillId="0" borderId="2" xfId="0" applyNumberFormat="1" applyFont="1" applyFill="1" applyBorder="1" applyAlignment="1">
      <alignment horizontal="centerContinuous"/>
    </xf>
    <xf numFmtId="3" fontId="0" fillId="0" borderId="2" xfId="0" applyNumberFormat="1" applyFont="1" applyFill="1" applyBorder="1" applyAlignment="1">
      <alignment horizontal="center"/>
    </xf>
    <xf numFmtId="3" fontId="29" fillId="0" borderId="16" xfId="0" applyNumberFormat="1" applyFont="1" applyFill="1" applyBorder="1" applyAlignment="1">
      <alignment horizontal="center"/>
    </xf>
    <xf numFmtId="3" fontId="0" fillId="0" borderId="54" xfId="0" applyNumberFormat="1" applyFont="1" applyFill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center"/>
    </xf>
    <xf numFmtId="0" fontId="1" fillId="0" borderId="96" xfId="0" applyFont="1" applyFill="1" applyBorder="1" applyAlignment="1">
      <alignment horizontal="center"/>
    </xf>
    <xf numFmtId="3" fontId="0" fillId="0" borderId="95" xfId="0" applyNumberFormat="1" applyFont="1" applyFill="1" applyBorder="1" applyAlignment="1">
      <alignment horizontal="left"/>
    </xf>
    <xf numFmtId="3" fontId="0" fillId="0" borderId="55" xfId="0" applyNumberFormat="1" applyFont="1" applyFill="1" applyBorder="1" applyAlignment="1">
      <alignment horizontal="center"/>
    </xf>
    <xf numFmtId="3" fontId="2" fillId="0" borderId="55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29" fillId="0" borderId="55" xfId="0" applyNumberFormat="1" applyFont="1" applyFill="1" applyBorder="1" applyAlignment="1">
      <alignment horizontal="center"/>
    </xf>
    <xf numFmtId="3" fontId="29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0" fontId="0" fillId="0" borderId="97" xfId="0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27" xfId="0" applyNumberFormat="1" applyFont="1" applyFill="1" applyBorder="1" applyAlignment="1">
      <alignment horizontal="center"/>
    </xf>
    <xf numFmtId="3" fontId="2" fillId="0" borderId="88" xfId="0" applyNumberFormat="1" applyFont="1" applyFill="1" applyBorder="1" applyAlignment="1">
      <alignment horizontal="center"/>
    </xf>
    <xf numFmtId="3" fontId="2" fillId="0" borderId="98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/>
    </xf>
    <xf numFmtId="1" fontId="1" fillId="0" borderId="99" xfId="0" applyNumberFormat="1" applyFont="1" applyFill="1" applyBorder="1" applyAlignment="1">
      <alignment horizontal="center"/>
    </xf>
    <xf numFmtId="3" fontId="1" fillId="0" borderId="32" xfId="15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1" fontId="0" fillId="0" borderId="67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1" fontId="1" fillId="0" borderId="100" xfId="0" applyNumberFormat="1" applyFont="1" applyFill="1" applyBorder="1" applyAlignment="1">
      <alignment horizontal="center"/>
    </xf>
    <xf numFmtId="3" fontId="1" fillId="0" borderId="101" xfId="0" applyNumberFormat="1" applyFont="1" applyFill="1" applyBorder="1" applyAlignment="1">
      <alignment horizontal="left" vertical="center"/>
    </xf>
    <xf numFmtId="1" fontId="0" fillId="0" borderId="61" xfId="0" applyNumberFormat="1" applyFont="1" applyFill="1" applyBorder="1" applyAlignment="1">
      <alignment horizontal="center"/>
    </xf>
    <xf numFmtId="3" fontId="0" fillId="0" borderId="102" xfId="0" applyNumberFormat="1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vertical="center"/>
    </xf>
    <xf numFmtId="1" fontId="0" fillId="0" borderId="63" xfId="0" applyNumberFormat="1" applyFont="1" applyFill="1" applyBorder="1" applyAlignment="1">
      <alignment horizontal="center" vertical="center"/>
    </xf>
    <xf numFmtId="1" fontId="0" fillId="0" borderId="34" xfId="0" applyNumberFormat="1" applyFont="1" applyFill="1" applyBorder="1" applyAlignment="1">
      <alignment horizontal="center" vertical="center"/>
    </xf>
    <xf numFmtId="3" fontId="0" fillId="0" borderId="103" xfId="0" applyNumberFormat="1" applyFont="1" applyFill="1" applyBorder="1" applyAlignment="1">
      <alignment vertical="center"/>
    </xf>
    <xf numFmtId="1" fontId="1" fillId="0" borderId="104" xfId="0" applyNumberFormat="1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/>
    </xf>
    <xf numFmtId="3" fontId="1" fillId="0" borderId="105" xfId="15" applyNumberFormat="1" applyFont="1" applyFill="1" applyBorder="1" applyAlignment="1">
      <alignment horizontal="right" vertical="center"/>
    </xf>
    <xf numFmtId="3" fontId="0" fillId="0" borderId="5" xfId="15" applyNumberFormat="1" applyFont="1" applyFill="1" applyBorder="1" applyAlignment="1">
      <alignment horizontal="right" vertical="center"/>
    </xf>
    <xf numFmtId="3" fontId="0" fillId="0" borderId="3" xfId="15" applyNumberFormat="1" applyFont="1" applyFill="1" applyBorder="1" applyAlignment="1">
      <alignment horizontal="right" vertical="center"/>
    </xf>
    <xf numFmtId="1" fontId="0" fillId="0" borderId="103" xfId="0" applyNumberFormat="1" applyFont="1" applyFill="1" applyBorder="1" applyAlignment="1">
      <alignment vertical="center" wrapText="1"/>
    </xf>
    <xf numFmtId="1" fontId="0" fillId="0" borderId="102" xfId="0" applyNumberFormat="1" applyFont="1" applyFill="1" applyBorder="1" applyAlignment="1">
      <alignment vertical="center" wrapText="1"/>
    </xf>
    <xf numFmtId="3" fontId="0" fillId="0" borderId="2" xfId="15" applyNumberFormat="1" applyFont="1" applyFill="1" applyBorder="1" applyAlignment="1">
      <alignment horizontal="right" vertical="center"/>
    </xf>
    <xf numFmtId="3" fontId="0" fillId="0" borderId="5" xfId="0" applyNumberFormat="1" applyFont="1" applyFill="1" applyBorder="1" applyAlignment="1">
      <alignment vertical="center" wrapText="1"/>
    </xf>
    <xf numFmtId="1" fontId="0" fillId="0" borderId="55" xfId="0" applyNumberFormat="1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0" fillId="0" borderId="102" xfId="0" applyFont="1" applyFill="1" applyBorder="1" applyAlignment="1">
      <alignment horizontal="left" vertical="center"/>
    </xf>
    <xf numFmtId="3" fontId="0" fillId="0" borderId="102" xfId="0" applyNumberFormat="1" applyFont="1" applyFill="1" applyBorder="1" applyAlignment="1">
      <alignment horizontal="left" vertical="center" wrapText="1"/>
    </xf>
    <xf numFmtId="3" fontId="0" fillId="0" borderId="102" xfId="0" applyNumberFormat="1" applyFont="1" applyFill="1" applyBorder="1" applyAlignment="1">
      <alignment horizontal="left" vertical="center"/>
    </xf>
    <xf numFmtId="0" fontId="0" fillId="0" borderId="102" xfId="0" applyFont="1" applyFill="1" applyBorder="1" applyAlignment="1">
      <alignment vertical="center"/>
    </xf>
    <xf numFmtId="3" fontId="0" fillId="0" borderId="103" xfId="0" applyNumberFormat="1" applyFont="1" applyFill="1" applyBorder="1" applyAlignment="1">
      <alignment vertical="center" wrapText="1"/>
    </xf>
    <xf numFmtId="3" fontId="0" fillId="0" borderId="102" xfId="0" applyNumberFormat="1" applyFont="1" applyFill="1" applyBorder="1" applyAlignment="1">
      <alignment wrapText="1"/>
    </xf>
    <xf numFmtId="1" fontId="1" fillId="0" borderId="106" xfId="0" applyNumberFormat="1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right" vertical="center"/>
    </xf>
    <xf numFmtId="3" fontId="7" fillId="0" borderId="108" xfId="15" applyNumberFormat="1" applyFont="1" applyFill="1" applyBorder="1" applyAlignment="1">
      <alignment horizontal="right" vertical="center"/>
    </xf>
    <xf numFmtId="1" fontId="1" fillId="0" borderId="104" xfId="15" applyNumberFormat="1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vertical="center"/>
    </xf>
    <xf numFmtId="3" fontId="1" fillId="0" borderId="105" xfId="0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0" fontId="0" fillId="0" borderId="61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/>
    </xf>
    <xf numFmtId="0" fontId="1" fillId="0" borderId="105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" fontId="0" fillId="0" borderId="5" xfId="0" applyNumberFormat="1" applyFont="1" applyFill="1" applyBorder="1" applyAlignment="1">
      <alignment/>
    </xf>
    <xf numFmtId="0" fontId="0" fillId="0" borderId="13" xfId="0" applyBorder="1" applyAlignment="1">
      <alignment wrapText="1"/>
    </xf>
    <xf numFmtId="0" fontId="13" fillId="0" borderId="58" xfId="0" applyFont="1" applyFill="1" applyBorder="1" applyAlignment="1">
      <alignment horizontal="center" vertical="center"/>
    </xf>
    <xf numFmtId="3" fontId="1" fillId="0" borderId="25" xfId="15" applyNumberFormat="1" applyFont="1" applyFill="1" applyBorder="1" applyAlignment="1">
      <alignment horizontal="right" vertical="center"/>
    </xf>
    <xf numFmtId="3" fontId="1" fillId="0" borderId="97" xfId="15" applyNumberFormat="1" applyFont="1" applyFill="1" applyBorder="1" applyAlignment="1">
      <alignment horizontal="right" vertical="center"/>
    </xf>
    <xf numFmtId="3" fontId="1" fillId="0" borderId="109" xfId="15" applyNumberFormat="1" applyFont="1" applyFill="1" applyBorder="1" applyAlignment="1">
      <alignment horizontal="right" vertical="center"/>
    </xf>
    <xf numFmtId="3" fontId="1" fillId="0" borderId="110" xfId="15" applyNumberFormat="1" applyFont="1" applyFill="1" applyBorder="1" applyAlignment="1">
      <alignment horizontal="right" vertical="center"/>
    </xf>
    <xf numFmtId="3" fontId="1" fillId="0" borderId="22" xfId="15" applyNumberFormat="1" applyFont="1" applyFill="1" applyBorder="1" applyAlignment="1">
      <alignment horizontal="right" vertical="center"/>
    </xf>
    <xf numFmtId="3" fontId="7" fillId="0" borderId="22" xfId="15" applyNumberFormat="1" applyFont="1" applyFill="1" applyBorder="1" applyAlignment="1">
      <alignment horizontal="right" vertical="center"/>
    </xf>
    <xf numFmtId="3" fontId="1" fillId="0" borderId="1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vertical="center"/>
    </xf>
    <xf numFmtId="3" fontId="1" fillId="0" borderId="112" xfId="0" applyNumberFormat="1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right" wrapText="1"/>
    </xf>
    <xf numFmtId="3" fontId="1" fillId="0" borderId="113" xfId="0" applyNumberFormat="1" applyFont="1" applyFill="1" applyBorder="1" applyAlignment="1">
      <alignment horizontal="right" wrapText="1"/>
    </xf>
    <xf numFmtId="3" fontId="1" fillId="0" borderId="107" xfId="0" applyNumberFormat="1" applyFont="1" applyFill="1" applyBorder="1" applyAlignment="1">
      <alignment horizontal="center" vertical="center"/>
    </xf>
    <xf numFmtId="3" fontId="1" fillId="0" borderId="108" xfId="0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/>
    </xf>
    <xf numFmtId="3" fontId="4" fillId="0" borderId="63" xfId="15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19" fillId="0" borderId="0" xfId="0" applyFont="1" applyAlignment="1">
      <alignment horizontal="right"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 wrapText="1"/>
    </xf>
    <xf numFmtId="3" fontId="0" fillId="0" borderId="18" xfId="0" applyNumberFormat="1" applyFont="1" applyBorder="1" applyAlignment="1">
      <alignment/>
    </xf>
    <xf numFmtId="0" fontId="0" fillId="0" borderId="60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14" xfId="0" applyFont="1" applyBorder="1" applyAlignment="1">
      <alignment wrapText="1"/>
    </xf>
    <xf numFmtId="0" fontId="0" fillId="0" borderId="7" xfId="0" applyFont="1" applyBorder="1" applyAlignment="1">
      <alignment/>
    </xf>
    <xf numFmtId="3" fontId="0" fillId="0" borderId="114" xfId="0" applyNumberFormat="1" applyFont="1" applyBorder="1" applyAlignment="1">
      <alignment wrapText="1"/>
    </xf>
    <xf numFmtId="0" fontId="0" fillId="0" borderId="88" xfId="0" applyFont="1" applyBorder="1" applyAlignment="1">
      <alignment wrapText="1"/>
    </xf>
    <xf numFmtId="3" fontId="0" fillId="0" borderId="88" xfId="0" applyNumberFormat="1" applyFont="1" applyBorder="1" applyAlignment="1">
      <alignment/>
    </xf>
    <xf numFmtId="3" fontId="0" fillId="0" borderId="88" xfId="0" applyNumberFormat="1" applyFont="1" applyBorder="1" applyAlignment="1">
      <alignment wrapText="1"/>
    </xf>
    <xf numFmtId="3" fontId="3" fillId="0" borderId="91" xfId="0" applyNumberFormat="1" applyFont="1" applyBorder="1" applyAlignment="1">
      <alignment wrapText="1"/>
    </xf>
    <xf numFmtId="3" fontId="3" fillId="0" borderId="84" xfId="0" applyNumberFormat="1" applyFont="1" applyBorder="1" applyAlignment="1">
      <alignment wrapText="1"/>
    </xf>
    <xf numFmtId="3" fontId="3" fillId="0" borderId="88" xfId="0" applyNumberFormat="1" applyFont="1" applyBorder="1" applyAlignment="1">
      <alignment/>
    </xf>
    <xf numFmtId="0" fontId="3" fillId="3" borderId="91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3" fillId="0" borderId="88" xfId="0" applyNumberFormat="1" applyFont="1" applyBorder="1" applyAlignment="1">
      <alignment horizontal="right"/>
    </xf>
    <xf numFmtId="3" fontId="19" fillId="0" borderId="40" xfId="0" applyNumberFormat="1" applyFont="1" applyFill="1" applyBorder="1" applyAlignment="1">
      <alignment horizontal="right"/>
    </xf>
    <xf numFmtId="0" fontId="0" fillId="0" borderId="88" xfId="0" applyBorder="1" applyAlignment="1">
      <alignment/>
    </xf>
    <xf numFmtId="3" fontId="19" fillId="0" borderId="88" xfId="0" applyNumberFormat="1" applyFont="1" applyFill="1" applyBorder="1" applyAlignment="1">
      <alignment horizontal="right"/>
    </xf>
    <xf numFmtId="0" fontId="3" fillId="0" borderId="114" xfId="0" applyFont="1" applyBorder="1" applyAlignment="1">
      <alignment wrapText="1"/>
    </xf>
    <xf numFmtId="3" fontId="0" fillId="3" borderId="5" xfId="0" applyNumberFormat="1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3" fontId="0" fillId="3" borderId="7" xfId="0" applyNumberFormat="1" applyFont="1" applyFill="1" applyBorder="1" applyAlignment="1">
      <alignment/>
    </xf>
    <xf numFmtId="3" fontId="0" fillId="3" borderId="18" xfId="0" applyNumberFormat="1" applyFont="1" applyFill="1" applyBorder="1" applyAlignment="1">
      <alignment/>
    </xf>
    <xf numFmtId="3" fontId="3" fillId="3" borderId="2" xfId="0" applyNumberFormat="1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1" fillId="0" borderId="88" xfId="0" applyFont="1" applyBorder="1" applyAlignment="1">
      <alignment/>
    </xf>
    <xf numFmtId="0" fontId="0" fillId="0" borderId="88" xfId="0" applyFont="1" applyBorder="1" applyAlignment="1">
      <alignment horizontal="left" wrapText="1"/>
    </xf>
    <xf numFmtId="3" fontId="0" fillId="0" borderId="8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0" fillId="3" borderId="60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3" fontId="3" fillId="0" borderId="5" xfId="0" applyNumberFormat="1" applyFont="1" applyBorder="1" applyAlignment="1">
      <alignment wrapText="1"/>
    </xf>
    <xf numFmtId="3" fontId="4" fillId="0" borderId="3" xfId="0" applyNumberFormat="1" applyFont="1" applyBorder="1" applyAlignment="1">
      <alignment/>
    </xf>
    <xf numFmtId="0" fontId="3" fillId="0" borderId="88" xfId="0" applyFont="1" applyBorder="1" applyAlignment="1">
      <alignment/>
    </xf>
    <xf numFmtId="0" fontId="3" fillId="0" borderId="88" xfId="0" applyFont="1" applyBorder="1" applyAlignment="1">
      <alignment horizontal="left"/>
    </xf>
    <xf numFmtId="0" fontId="3" fillId="0" borderId="89" xfId="0" applyFont="1" applyBorder="1" applyAlignment="1">
      <alignment wrapText="1"/>
    </xf>
    <xf numFmtId="0" fontId="1" fillId="0" borderId="88" xfId="0" applyFont="1" applyFill="1" applyBorder="1" applyAlignment="1">
      <alignment/>
    </xf>
    <xf numFmtId="3" fontId="1" fillId="0" borderId="88" xfId="0" applyNumberFormat="1" applyFont="1" applyFill="1" applyBorder="1" applyAlignment="1">
      <alignment/>
    </xf>
    <xf numFmtId="0" fontId="0" fillId="0" borderId="88" xfId="0" applyFont="1" applyBorder="1" applyAlignment="1">
      <alignment/>
    </xf>
    <xf numFmtId="0" fontId="9" fillId="0" borderId="2" xfId="0" applyFont="1" applyBorder="1" applyAlignment="1">
      <alignment/>
    </xf>
    <xf numFmtId="0" fontId="1" fillId="0" borderId="56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60" xfId="0" applyNumberFormat="1" applyFont="1" applyBorder="1" applyAlignment="1">
      <alignment wrapText="1"/>
    </xf>
    <xf numFmtId="3" fontId="0" fillId="0" borderId="18" xfId="0" applyNumberFormat="1" applyFont="1" applyBorder="1" applyAlignment="1">
      <alignment wrapText="1"/>
    </xf>
    <xf numFmtId="3" fontId="0" fillId="0" borderId="115" xfId="15" applyNumberFormat="1" applyFont="1" applyFill="1" applyBorder="1" applyAlignment="1">
      <alignment horizontal="right" vertical="center"/>
    </xf>
    <xf numFmtId="0" fontId="1" fillId="4" borderId="1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3" borderId="116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3" fontId="16" fillId="0" borderId="42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24" name="Line 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25" name="Line 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26" name="Line 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27" name="Line 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28" name="Line 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29" name="Line 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30" name="Line 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31" name="Line 7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032" name="Line 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33" name="Line 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034" name="Line 1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35" name="Line 11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36" name="Line 1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37" name="Line 1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38" name="Line 1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39" name="Line 15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40" name="Line 16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41" name="Line 1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42" name="Line 1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45" name="Line 2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46" name="Line 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47" name="Line 2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86" name="Line 6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087" name="Line 6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90" name="Line 6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91" name="Line 6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96" name="Line 7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20" name="Line 9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05" name="Line 181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06" name="Line 182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07" name="Line 183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08" name="Line 184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09" name="Line 185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10" name="Line 18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63" name="Line 23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64" name="Line 240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67" name="Line 24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68" name="Line 244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73" name="Line 24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87" name="Line 36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88" name="Line 36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89" name="Line 36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90" name="Line 36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91" name="Line 36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92" name="Line 36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93" name="Line 36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94" name="Line 37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95" name="Line 37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96" name="Line 37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97" name="Line 37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398" name="Line 37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399" name="Line 37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02" name="Line 37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03" name="Line 37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04" name="Line 38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54" name="Line 430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131</xdr:row>
      <xdr:rowOff>0</xdr:rowOff>
    </xdr:from>
    <xdr:to>
      <xdr:col>2</xdr:col>
      <xdr:colOff>0</xdr:colOff>
      <xdr:row>131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100" y="29632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100" y="337947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45" name="Line 72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46" name="Line 7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47" name="Line 72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48" name="Line 72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50" name="Line 72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53" name="Line 72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755" name="Line 73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758" name="Line 73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763" name="Line 73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02" name="Line 77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06" name="Line 78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07" name="Line 78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57" name="Line 83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58" name="Line 83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61" name="Line 83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62" name="Line 83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65" name="Line 84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66" name="Line 84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869" name="Line 84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70" name="Line 84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73" name="Line 84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74" name="Line 85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77" name="Line 85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78" name="Line 85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81" name="Line 85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82" name="Line 85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85" name="Line 86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86" name="Line 86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89" name="Line 865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890" name="Line 86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93" name="Line 86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94" name="Line 87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97" name="Line 87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898" name="Line 87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01" name="Line 87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02" name="Line 87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05" name="Line 88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06" name="Line 88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09" name="Line 88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10" name="Line 886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913" name="Line 88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14" name="Line 89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17" name="Line 89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18" name="Line 89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921" name="Line 897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22" name="Line 89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25" name="Line 90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26" name="Line 90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29" name="Line 90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30" name="Line 90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33" name="Line 90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934" name="Line 91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937" name="Line 91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38" name="Line 91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39" name="Line 91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40" name="Line 91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941" name="Line 917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942" name="Line 91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43" name="Line 91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44" name="Line 92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45" name="Line 92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46" name="Line 9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47" name="Line 92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48" name="Line 92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49" name="Line 92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50" name="Line 92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51" name="Line 92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52" name="Line 92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953" name="Line 92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54" name="Line 93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955" name="Line 93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56" name="Line 93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57" name="Line 93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958" name="Line 93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1959" name="Line 93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60" name="Line 93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1961" name="Line 93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962" name="Line 93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1963" name="Line 93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64" name="Line 94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65" name="Line 94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66" name="Line 94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67" name="Line 94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68" name="Line 94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69" name="Line 94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70" name="Line 94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71" name="Line 94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72" name="Line 94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73" name="Line 94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74" name="Line 95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75" name="Line 95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76" name="Line 95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77" name="Line 95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78" name="Line 95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79" name="Line 95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80" name="Line 95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81" name="Line 95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82" name="Line 95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83" name="Line 95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84" name="Line 96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85" name="Line 96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86" name="Line 96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1987" name="Line 96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88" name="Line 96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89" name="Line 96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90" name="Line 96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91" name="Line 96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92" name="Line 96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93" name="Line 96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94" name="Line 97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95" name="Line 97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96" name="Line 97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97" name="Line 97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98" name="Line 97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1999" name="Line 97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000" name="Line 97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001" name="Line 97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002" name="Line 97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03" name="Line 97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04" name="Line 98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05" name="Line 98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06" name="Line 98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07" name="Line 98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08" name="Line 98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09" name="Line 98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10" name="Line 98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11" name="Line 98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12" name="Line 98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13" name="Line 98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14" name="Line 99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15" name="Line 99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16" name="Line 99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17" name="Line 99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18" name="Line 99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19" name="Line 99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20" name="Line 99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21" name="Line 99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22" name="Line 99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23" name="Line 99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48" name="Line 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49" name="Line 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50" name="Line 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51" name="Line 3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52" name="Line 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53" name="Line 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54" name="Line 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55" name="Line 7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56" name="Line 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57" name="Line 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58" name="Line 1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59" name="Line 1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60" name="Line 1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61" name="Line 1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62" name="Line 1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63" name="Line 1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64" name="Line 1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65" name="Line 1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66" name="Line 1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67" name="Line 1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68" name="Line 2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69" name="Line 2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70" name="Line 2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71" name="Line 2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72" name="Line 24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73" name="Line 2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74" name="Line 2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75" name="Line 2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76" name="Line 28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77" name="Line 2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78" name="Line 3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79" name="Line 3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80" name="Line 3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81" name="Line 3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82" name="Line 3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83" name="Line 3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84" name="Line 3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85" name="Line 3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86" name="Line 3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87" name="Line 3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88" name="Line 4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89" name="Line 4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090" name="Line 4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91" name="Line 4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92" name="Line 4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93" name="Line 45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094" name="Line 4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95" name="Line 4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096" name="Line 4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97" name="Line 49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146</xdr:row>
      <xdr:rowOff>0</xdr:rowOff>
    </xdr:from>
    <xdr:to>
      <xdr:col>2</xdr:col>
      <xdr:colOff>0</xdr:colOff>
      <xdr:row>146</xdr:row>
      <xdr:rowOff>0</xdr:rowOff>
    </xdr:to>
    <xdr:sp>
      <xdr:nvSpPr>
        <xdr:cNvPr id="2098" name="Line 50"/>
        <xdr:cNvSpPr>
          <a:spLocks/>
        </xdr:cNvSpPr>
      </xdr:nvSpPr>
      <xdr:spPr>
        <a:xfrm>
          <a:off x="38100" y="333375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099" name="Line 5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0" name="Line 5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1" name="Line 5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2" name="Line 5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3" name="Line 5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4" name="Line 5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5" name="Line 5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6" name="Line 5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7" name="Line 5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8" name="Line 6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09" name="Line 6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10" name="Line 6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11" name="Line 6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12" name="Line 6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13" name="Line 6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14" name="Line 6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15" name="Line 6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16" name="Line 6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17" name="Line 6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18" name="Line 7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19" name="Line 7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20" name="Line 7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21" name="Line 7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22" name="Line 7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23" name="Line 7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24" name="Line 7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25" name="Line 7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26" name="Line 7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27" name="Line 7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28" name="Line 8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29" name="Line 8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30" name="Line 8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31" name="Line 8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32" name="Line 8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33" name="Line 8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34" name="Line 8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35" name="Line 8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36" name="Line 8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137" name="Line 8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38" name="Line 9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139" name="Line 9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40" name="Line 9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141" name="Line 9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42" name="Line 9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43" name="Line 9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44" name="Line 9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45" name="Line 9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46" name="Line 9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47" name="Line 9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48" name="Line 10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49" name="Line 10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50" name="Line 10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51" name="Line 10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52" name="Line 10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53" name="Line 10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54" name="Line 10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55" name="Line 10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56" name="Line 10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57" name="Line 10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58" name="Line 11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59" name="Line 111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160" name="Line 11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61" name="Line 11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162" name="Line 11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63" name="Line 11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64" name="Line 11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65" name="Line 11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66" name="Line 11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67" name="Line 11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68" name="Line 12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69" name="Line 12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70" name="Line 1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71" name="Line 12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72" name="Line 12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73" name="Line 12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74" name="Line 12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75" name="Line 12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76" name="Line 12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77" name="Line 12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78" name="Line 13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79" name="Line 13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80" name="Line 132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181" name="Line 13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82" name="Line 13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183" name="Line 13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84" name="Line 13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85" name="Line 13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86" name="Line 13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187" name="Line 13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88" name="Line 14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189" name="Line 14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90" name="Line 14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191" name="Line 14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92" name="Line 14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93" name="Line 14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94" name="Line 14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95" name="Line 14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96" name="Line 14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97" name="Line 14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98" name="Line 15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199" name="Line 15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00" name="Line 15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01" name="Line 153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02" name="Line 15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03" name="Line 15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04" name="Line 15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05" name="Line 15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06" name="Line 15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207" name="Line 15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08" name="Line 16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09" name="Line 16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10" name="Line 16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211" name="Line 16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212" name="Line 16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13" name="Line 16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14" name="Line 16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15" name="Line 16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16" name="Line 16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17" name="Line 16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18" name="Line 17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19" name="Line 17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20" name="Line 17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21" name="Line 17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22" name="Line 174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23" name="Line 17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24" name="Line 17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25" name="Line 17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26" name="Line 17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27" name="Line 17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228" name="Line 18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229" name="Line 18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30" name="Line 18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31" name="Line 18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232" name="Line 18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233" name="Line 18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34" name="Line 18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35" name="Line 18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36" name="Line 18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37" name="Line 18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38" name="Line 19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39" name="Line 19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40" name="Line 19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41" name="Line 19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42" name="Line 19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43" name="Line 19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44" name="Line 19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45" name="Line 19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46" name="Line 19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47" name="Line 19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48" name="Line 200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49" name="Line 201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50" name="Line 202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51" name="Line 203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52" name="Line 204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53" name="Line 205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54" name="Line 206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55" name="Line 207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56" name="Line 208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257" name="Line 209"/>
        <xdr:cNvSpPr>
          <a:spLocks/>
        </xdr:cNvSpPr>
      </xdr:nvSpPr>
      <xdr:spPr>
        <a:xfrm>
          <a:off x="38100" y="340233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58" name="Line 210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59" name="Line 211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0" name="Line 212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1" name="Line 213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2" name="Line 214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3" name="Line 215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4" name="Line 216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5" name="Line 217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6" name="Line 218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7" name="Line 219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8" name="Line 220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69" name="Line 221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70" name="Line 222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71" name="Line 223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232</xdr:row>
      <xdr:rowOff>0</xdr:rowOff>
    </xdr:from>
    <xdr:to>
      <xdr:col>2</xdr:col>
      <xdr:colOff>0</xdr:colOff>
      <xdr:row>232</xdr:row>
      <xdr:rowOff>0</xdr:rowOff>
    </xdr:to>
    <xdr:sp>
      <xdr:nvSpPr>
        <xdr:cNvPr id="2272" name="Line 224"/>
        <xdr:cNvSpPr>
          <a:spLocks/>
        </xdr:cNvSpPr>
      </xdr:nvSpPr>
      <xdr:spPr>
        <a:xfrm>
          <a:off x="38100" y="531876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73" name="Line 22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74" name="Line 22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75" name="Line 22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76" name="Line 22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77" name="Line 22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78" name="Line 23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79" name="Line 23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80" name="Line 23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81" name="Line 23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82" name="Line 23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83" name="Line 23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284" name="Line 236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285" name="Line 237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286" name="Line 238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87" name="Line 23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88" name="Line 24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89" name="Line 24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90" name="Line 24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91" name="Line 24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92" name="Line 24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93" name="Line 24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94" name="Line 24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95" name="Line 24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96" name="Line 24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97" name="Line 24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298" name="Line 25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299" name="Line 25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00" name="Line 25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301" name="Line 253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302" name="Line 254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303" name="Line 255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04" name="Line 25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05" name="Line 25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06" name="Line 25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07" name="Line 25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08" name="Line 26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09" name="Line 26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310" name="Line 262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311" name="Line 263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312" name="Line 264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13" name="Line 26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14" name="Line 26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15" name="Line 26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316" name="Line 268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317" name="Line 269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318" name="Line 270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19" name="Line 27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20" name="Line 27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321" name="Line 27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322" name="Line 274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323" name="Line 275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</xdr:row>
      <xdr:rowOff>0</xdr:rowOff>
    </xdr:from>
    <xdr:to>
      <xdr:col>2</xdr:col>
      <xdr:colOff>0</xdr:colOff>
      <xdr:row>83</xdr:row>
      <xdr:rowOff>0</xdr:rowOff>
    </xdr:to>
    <xdr:sp>
      <xdr:nvSpPr>
        <xdr:cNvPr id="2324" name="Line 276"/>
        <xdr:cNvSpPr>
          <a:spLocks/>
        </xdr:cNvSpPr>
      </xdr:nvSpPr>
      <xdr:spPr>
        <a:xfrm>
          <a:off x="38100" y="186594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25" name="Line 277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26" name="Line 27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27" name="Line 27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28" name="Line 28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29" name="Line 28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30" name="Line 28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31" name="Line 28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32" name="Line 28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33" name="Line 28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34" name="Line 28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35" name="Line 28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36" name="Line 28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37" name="Line 28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38" name="Line 29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39" name="Line 29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40" name="Line 292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41" name="Line 293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42" name="Line 294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43" name="Line 295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44" name="Line 296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45" name="Line 297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46" name="Line 29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47" name="Line 29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48" name="Line 30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49" name="Line 30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50" name="Line 30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51" name="Line 30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52" name="Line 30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53" name="Line 30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54" name="Line 30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55" name="Line 30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56" name="Line 308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57" name="Line 30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58" name="Line 31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59" name="Line 31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60" name="Line 31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61" name="Line 313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62" name="Line 314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63" name="Line 315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64" name="Line 316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65" name="Line 317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66" name="Line 318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67" name="Line 31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68" name="Line 32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69" name="Line 32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70" name="Line 32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71" name="Line 32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72" name="Line 32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73" name="Line 32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74" name="Line 32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75" name="Line 32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76" name="Line 32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77" name="Line 329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78" name="Line 33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79" name="Line 33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80" name="Line 33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81" name="Line 33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82" name="Line 334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83" name="Line 335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84" name="Line 336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85" name="Line 337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86" name="Line 338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387" name="Line 339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388" name="Line 34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89" name="Line 34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90" name="Line 34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91" name="Line 34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92" name="Line 34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93" name="Line 34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94" name="Line 346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395" name="Line 34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96" name="Line 34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397" name="Line 34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98" name="Line 350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399" name="Line 35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400" name="Line 35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401" name="Line 35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402" name="Line 35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03" name="Line 355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04" name="Line 356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05" name="Line 357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06" name="Line 358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07" name="Line 359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08" name="Line 360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09" name="Line 361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10" name="Line 36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11" name="Line 36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12" name="Line 36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13" name="Line 36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14" name="Line 36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415" name="Line 367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16" name="Line 36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17" name="Line 36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18" name="Line 37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419" name="Line 371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420" name="Line 372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421" name="Line 373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422" name="Line 374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2</xdr:col>
      <xdr:colOff>0</xdr:colOff>
      <xdr:row>22</xdr:row>
      <xdr:rowOff>0</xdr:rowOff>
    </xdr:to>
    <xdr:sp>
      <xdr:nvSpPr>
        <xdr:cNvPr id="2423" name="Line 375"/>
        <xdr:cNvSpPr>
          <a:spLocks/>
        </xdr:cNvSpPr>
      </xdr:nvSpPr>
      <xdr:spPr>
        <a:xfrm>
          <a:off x="38100" y="44862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24" name="Line 376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25" name="Line 377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26" name="Line 378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27" name="Line 379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28" name="Line 380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429" name="Line 381"/>
        <xdr:cNvSpPr>
          <a:spLocks/>
        </xdr:cNvSpPr>
      </xdr:nvSpPr>
      <xdr:spPr>
        <a:xfrm>
          <a:off x="38100" y="6276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30" name="Line 382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31" name="Line 38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32" name="Line 38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33" name="Line 38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35" name="Line 38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36" name="Line 38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37" name="Line 38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40" name="Line 39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41" name="Line 39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42" name="Line 39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43" name="Line 39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44" name="Line 39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45" name="Line 39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46" name="Line 39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47" name="Line 39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48" name="Line 40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49" name="Line 40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50" name="Line 40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51" name="Line 403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52" name="Line 40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53" name="Line 40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54" name="Line 40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56" name="Line 40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57" name="Line 40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58" name="Line 41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61" name="Line 41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62" name="Line 41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63" name="Line 41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64" name="Line 41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65" name="Line 41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66" name="Line 41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67" name="Line 41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68" name="Line 42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69" name="Line 42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70" name="Line 42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71" name="Line 42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72" name="Line 424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73" name="Line 42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74" name="Line 42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75" name="Line 42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77" name="Line 42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78" name="Line 43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79" name="Line 43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82" name="Line 43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83" name="Line 43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84" name="Line 43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85" name="Line 43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86" name="Line 43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87" name="Line 43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88" name="Line 44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89" name="Line 44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90" name="Line 44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91" name="Line 44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92" name="Line 44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493" name="Line 445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94" name="Line 44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95" name="Line 44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496" name="Line 44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498" name="Line 45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499" name="Line 45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00" name="Line 45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03" name="Line 45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04" name="Line 45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05" name="Line 45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06" name="Line 45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07" name="Line 45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08" name="Line 46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09" name="Line 46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10" name="Line 46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11" name="Line 46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12" name="Line 46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13" name="Line 46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514" name="Line 466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15" name="Line 46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16" name="Line 46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17" name="Line 46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19" name="Line 47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20" name="Line 47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521" name="Line 47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38100" y="6505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24" name="Line 47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25" name="Line 47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26" name="Line 47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27" name="Line 47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28" name="Line 48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29" name="Line 48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30" name="Line 48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31" name="Line 48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32" name="Line 48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33" name="Line 48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34" name="Line 48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35" name="Line 48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36" name="Line 48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37" name="Line 48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38" name="Line 49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39" name="Line 49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40" name="Line 492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41" name="Line 493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42" name="Line 494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43" name="Line 495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44" name="Line 496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45" name="Line 497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46" name="Line 498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47" name="Line 499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48" name="Line 500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147</xdr:row>
      <xdr:rowOff>0</xdr:rowOff>
    </xdr:from>
    <xdr:to>
      <xdr:col>2</xdr:col>
      <xdr:colOff>0</xdr:colOff>
      <xdr:row>147</xdr:row>
      <xdr:rowOff>0</xdr:rowOff>
    </xdr:to>
    <xdr:sp>
      <xdr:nvSpPr>
        <xdr:cNvPr id="2549" name="Line 501"/>
        <xdr:cNvSpPr>
          <a:spLocks/>
        </xdr:cNvSpPr>
      </xdr:nvSpPr>
      <xdr:spPr>
        <a:xfrm>
          <a:off x="38100" y="33566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0" name="Line 50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1" name="Line 50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2" name="Line 50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3" name="Line 50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4" name="Line 50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5" name="Line 50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6" name="Line 50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7" name="Line 50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8" name="Line 51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9" name="Line 51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0" name="Line 51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1" name="Line 51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2" name="Line 51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3" name="Line 51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4" name="Line 51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5" name="Line 51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6" name="Line 51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7" name="Line 51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8" name="Line 52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9" name="Line 52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70" name="Line 52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71" name="Line 52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72" name="Line 52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73" name="Line 52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74" name="Line 52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75" name="Line 52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76" name="Line 52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77" name="Line 52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78" name="Line 53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79" name="Line 53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80" name="Line 53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81" name="Line 53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82" name="Line 53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83" name="Line 53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84" name="Line 53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85" name="Line 53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86" name="Line 53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87" name="Line 53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88" name="Line 54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589" name="Line 541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90" name="Line 54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91" name="Line 54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592" name="Line 54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593" name="Line 545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594" name="Line 546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95" name="Line 54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96" name="Line 54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97" name="Line 54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598" name="Line 55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599" name="Line 55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00" name="Line 55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01" name="Line 55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02" name="Line 55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03" name="Line 55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04" name="Line 55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05" name="Line 55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06" name="Line 558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07" name="Line 55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08" name="Line 56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09" name="Line 56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10" name="Line 562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11" name="Line 563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12" name="Line 56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13" name="Line 56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14" name="Line 56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15" name="Line 56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16" name="Line 56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17" name="Line 569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18" name="Line 570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19" name="Line 571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20" name="Line 57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621" name="Line 573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622" name="Line 574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623" name="Line 575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24" name="Line 576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25" name="Line 577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26" name="Line 578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627" name="Line 579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628" name="Line 580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629" name="Line 581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30" name="Line 582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31" name="Line 583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135</xdr:row>
      <xdr:rowOff>0</xdr:rowOff>
    </xdr:from>
    <xdr:to>
      <xdr:col>2</xdr:col>
      <xdr:colOff>0</xdr:colOff>
      <xdr:row>135</xdr:row>
      <xdr:rowOff>0</xdr:rowOff>
    </xdr:to>
    <xdr:sp>
      <xdr:nvSpPr>
        <xdr:cNvPr id="2632" name="Line 584"/>
        <xdr:cNvSpPr>
          <a:spLocks/>
        </xdr:cNvSpPr>
      </xdr:nvSpPr>
      <xdr:spPr>
        <a:xfrm>
          <a:off x="38100" y="30822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633" name="Line 585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634" name="Line 586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145</xdr:row>
      <xdr:rowOff>0</xdr:rowOff>
    </xdr:from>
    <xdr:to>
      <xdr:col>2</xdr:col>
      <xdr:colOff>0</xdr:colOff>
      <xdr:row>145</xdr:row>
      <xdr:rowOff>0</xdr:rowOff>
    </xdr:to>
    <xdr:sp>
      <xdr:nvSpPr>
        <xdr:cNvPr id="2635" name="Line 587"/>
        <xdr:cNvSpPr>
          <a:spLocks/>
        </xdr:cNvSpPr>
      </xdr:nvSpPr>
      <xdr:spPr>
        <a:xfrm>
          <a:off x="38100" y="331089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36" name="Line 588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37" name="Line 58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38" name="Line 59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39" name="Line 59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40" name="Line 59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41" name="Line 59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42" name="Line 594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43" name="Line 59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44" name="Line 59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45" name="Line 59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46" name="Line 598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47" name="Line 599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648" name="Line 600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649" name="Line 601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650" name="Line 602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51" name="Line 60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52" name="Line 60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53" name="Line 60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54" name="Line 60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55" name="Line 60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56" name="Line 60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57" name="Line 609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58" name="Line 61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59" name="Line 61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60" name="Line 61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61" name="Line 61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62" name="Line 61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63" name="Line 615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64" name="Line 61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65" name="Line 61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66" name="Line 61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67" name="Line 619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669" name="Line 621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670" name="Line 622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671" name="Line 623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72" name="Line 62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73" name="Line 62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74" name="Line 62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75" name="Line 62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76" name="Line 62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77" name="Line 62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78" name="Line 630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79" name="Line 63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80" name="Line 63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81" name="Line 63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82" name="Line 63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83" name="Line 63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84" name="Line 636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685" name="Line 63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86" name="Line 63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687" name="Line 63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88" name="Line 640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689" name="Line 641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690" name="Line 642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691" name="Line 643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692" name="Line 644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93" name="Line 64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94" name="Line 64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95" name="Line 64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96" name="Line 64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97" name="Line 64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698" name="Line 65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699" name="Line 651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00" name="Line 652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01" name="Line 65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02" name="Line 65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03" name="Line 65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04" name="Line 65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705" name="Line 657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06" name="Line 65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07" name="Line 65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08" name="Line 66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709" name="Line 661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710" name="Line 662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711" name="Line 663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712" name="Line 664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713" name="Line 665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14" name="Line 66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15" name="Line 66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16" name="Line 66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17" name="Line 66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18" name="Line 67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19" name="Line 67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20" name="Line 672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21" name="Line 673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22" name="Line 67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23" name="Line 67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24" name="Line 67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25" name="Line 67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726" name="Line 678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27" name="Line 67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28" name="Line 68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29" name="Line 681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730" name="Line 682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2</xdr:col>
      <xdr:colOff>0</xdr:colOff>
      <xdr:row>26</xdr:row>
      <xdr:rowOff>0</xdr:rowOff>
    </xdr:to>
    <xdr:sp>
      <xdr:nvSpPr>
        <xdr:cNvPr id="2731" name="Line 683"/>
        <xdr:cNvSpPr>
          <a:spLocks/>
        </xdr:cNvSpPr>
      </xdr:nvSpPr>
      <xdr:spPr>
        <a:xfrm>
          <a:off x="38100" y="55721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732" name="Line 684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733" name="Line 685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</xdr:row>
      <xdr:rowOff>0</xdr:rowOff>
    </xdr:from>
    <xdr:to>
      <xdr:col>2</xdr:col>
      <xdr:colOff>0</xdr:colOff>
      <xdr:row>45</xdr:row>
      <xdr:rowOff>0</xdr:rowOff>
    </xdr:to>
    <xdr:sp>
      <xdr:nvSpPr>
        <xdr:cNvPr id="2734" name="Line 686"/>
        <xdr:cNvSpPr>
          <a:spLocks/>
        </xdr:cNvSpPr>
      </xdr:nvSpPr>
      <xdr:spPr>
        <a:xfrm>
          <a:off x="38100" y="99345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35" name="Line 68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36" name="Line 68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37" name="Line 68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38" name="Line 69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39" name="Line 69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40" name="Line 69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41" name="Line 693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42" name="Line 694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43" name="Line 695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44" name="Line 69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45" name="Line 69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46" name="Line 69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47" name="Line 69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48" name="Line 70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49" name="Line 70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50" name="Line 70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51" name="Line 70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52" name="Line 70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53" name="Line 70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54" name="Line 70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55" name="Line 70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56" name="Line 70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57" name="Line 70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58" name="Line 71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59" name="Line 71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60" name="Line 71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61" name="Line 71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62" name="Line 714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63" name="Line 715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64" name="Line 716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65" name="Line 71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66" name="Line 71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67" name="Line 71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68" name="Line 72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69" name="Line 72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70" name="Line 72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71" name="Line 72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72" name="Line 72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73" name="Line 72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74" name="Line 72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75" name="Line 72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76" name="Line 72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77" name="Line 72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78" name="Line 73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79" name="Line 73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80" name="Line 73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81" name="Line 73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82" name="Line 73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83" name="Line 735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84" name="Line 736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85" name="Line 737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786" name="Line 73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87" name="Line 73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88" name="Line 740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89" name="Line 74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790" name="Line 74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91" name="Line 74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792" name="Line 74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93" name="Line 74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94" name="Line 74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95" name="Line 74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96" name="Line 74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97" name="Line 74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98" name="Line 75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799" name="Line 75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00" name="Line 75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01" name="Line 75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02" name="Line 75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03" name="Line 75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04" name="Line 756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805" name="Line 757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06" name="Line 758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807" name="Line 759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08" name="Line 76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09" name="Line 761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10" name="Line 76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11" name="Line 763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12" name="Line 76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13" name="Line 76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14" name="Line 76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15" name="Line 76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16" name="Line 76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17" name="Line 76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18" name="Line 77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19" name="Line 77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20" name="Line 77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21" name="Line 77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22" name="Line 77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23" name="Line 77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24" name="Line 77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825" name="Line 777"/>
        <xdr:cNvSpPr>
          <a:spLocks/>
        </xdr:cNvSpPr>
      </xdr:nvSpPr>
      <xdr:spPr>
        <a:xfrm>
          <a:off x="38100" y="571500"/>
          <a:ext cx="3248025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826" name="Line 778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27" name="Line 779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828" name="Line 780"/>
        <xdr:cNvSpPr>
          <a:spLocks/>
        </xdr:cNvSpPr>
      </xdr:nvSpPr>
      <xdr:spPr>
        <a:xfrm>
          <a:off x="38100" y="33051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29" name="Line 78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30" name="Line 782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31" name="Line 78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2</xdr:col>
      <xdr:colOff>0</xdr:colOff>
      <xdr:row>15</xdr:row>
      <xdr:rowOff>0</xdr:rowOff>
    </xdr:to>
    <xdr:sp>
      <xdr:nvSpPr>
        <xdr:cNvPr id="2832" name="Line 784"/>
        <xdr:cNvSpPr>
          <a:spLocks/>
        </xdr:cNvSpPr>
      </xdr:nvSpPr>
      <xdr:spPr>
        <a:xfrm>
          <a:off x="38100" y="28479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33" name="Line 78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34" name="Line 78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35" name="Line 78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36" name="Line 78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37" name="Line 78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38" name="Line 79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39" name="Line 79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40" name="Line 79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41" name="Line 79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42" name="Line 79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43" name="Line 79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44" name="Line 79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45" name="Line 79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46" name="Line 79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47" name="Line 79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48" name="Line 80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49" name="Line 80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50" name="Line 80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51" name="Line 803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52" name="Line 804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53" name="Line 805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54" name="Line 806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55" name="Line 807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56" name="Line 808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57" name="Line 809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58" name="Line 810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59" name="Line 811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152</xdr:row>
      <xdr:rowOff>0</xdr:rowOff>
    </xdr:from>
    <xdr:to>
      <xdr:col>2</xdr:col>
      <xdr:colOff>0</xdr:colOff>
      <xdr:row>152</xdr:row>
      <xdr:rowOff>0</xdr:rowOff>
    </xdr:to>
    <xdr:sp>
      <xdr:nvSpPr>
        <xdr:cNvPr id="2860" name="Line 812"/>
        <xdr:cNvSpPr>
          <a:spLocks/>
        </xdr:cNvSpPr>
      </xdr:nvSpPr>
      <xdr:spPr>
        <a:xfrm>
          <a:off x="38100" y="34709100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1" name="Line 81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2" name="Line 81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3" name="Line 81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4" name="Line 81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5" name="Line 81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6" name="Line 81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7" name="Line 81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8" name="Line 82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9" name="Line 82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70" name="Line 82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71" name="Line 82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72" name="Line 82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73" name="Line 82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74" name="Line 82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75" name="Line 82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76" name="Line 82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77" name="Line 82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78" name="Line 83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79" name="Line 83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0" name="Line 83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1" name="Line 83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2" name="Line 83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3" name="Line 83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4" name="Line 83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5" name="Line 837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6" name="Line 838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7" name="Line 839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8" name="Line 840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9" name="Line 841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90" name="Line 842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91" name="Line 843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92" name="Line 844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93" name="Line 845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94" name="Line 846"/>
        <xdr:cNvSpPr>
          <a:spLocks/>
        </xdr:cNvSpPr>
      </xdr:nvSpPr>
      <xdr:spPr>
        <a:xfrm>
          <a:off x="38100" y="101822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895" name="Line 847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896" name="Line 848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897" name="Line 849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898" name="Line 850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899" name="Line 851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00" name="Line 852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01" name="Line 853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02" name="Line 854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03" name="Line 855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04" name="Line 856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05" name="Line 857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06" name="Line 858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07" name="Line 859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08" name="Line 860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2909" name="Line 861"/>
        <xdr:cNvSpPr>
          <a:spLocks/>
        </xdr:cNvSpPr>
      </xdr:nvSpPr>
      <xdr:spPr>
        <a:xfrm>
          <a:off x="38100" y="16602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10" name="Line 862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11" name="Line 863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12" name="Line 864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13" name="Line 865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14" name="Line 866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15" name="Line 867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16" name="Line 868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17" name="Line 869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18" name="Line 870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19" name="Line 871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20" name="Line 872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21" name="Line 873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22" name="Line 874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23" name="Line 875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2924" name="Line 876"/>
        <xdr:cNvSpPr>
          <a:spLocks/>
        </xdr:cNvSpPr>
      </xdr:nvSpPr>
      <xdr:spPr>
        <a:xfrm>
          <a:off x="38100" y="1774507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717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717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" name="AutoShape 2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" name="AutoShape 2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" name="AutoShape 2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1" name="AutoShape 3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2" name="AutoShape 3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3" name="AutoShape 3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6" name="AutoShape 3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7" name="AutoShape 3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9" name="AutoShape 3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0" name="AutoShape 4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1" name="AutoShape 4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3" name="AutoShape 4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4" name="AutoShape 4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5" name="AutoShape 4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7" name="AutoShape 4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8" name="AutoShape 4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9" name="AutoShape 4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1" name="AutoShape 5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2" name="AutoShape 5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3" name="AutoShape 5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6" name="AutoShape 5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7" name="AutoShape 5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9" name="AutoShape 5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0" name="AutoShape 6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1" name="AutoShape 6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3" name="AutoShape 6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4" name="AutoShape 6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5" name="AutoShape 6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7" name="AutoShape 6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8" name="AutoShape 6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9" name="AutoShape 6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1" name="AutoShape 7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2" name="AutoShape 7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3" name="AutoShape 7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5" name="AutoShape 7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6" name="AutoShape 7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7" name="AutoShape 7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9" name="AutoShape 7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0" name="AutoShape 8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1" name="AutoShape 8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3" name="AutoShape 8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4" name="AutoShape 8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5" name="AutoShape 8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7" name="AutoShape 8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8" name="AutoShape 8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9" name="AutoShape 8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1" name="AutoShape 9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2" name="AutoShape 9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3" name="AutoShape 9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5" name="AutoShape 9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6" name="AutoShape 9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7" name="AutoShape 9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9" name="AutoShape 9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0" name="AutoShape 10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1" name="AutoShape 10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3" name="AutoShape 10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4" name="AutoShape 10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5" name="AutoShape 10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7" name="AutoShape 10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8" name="AutoShape 10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9" name="AutoShape 10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1" name="AutoShape 11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2" name="AutoShape 11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3" name="AutoShape 11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5" name="AutoShape 11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6" name="AutoShape 11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7" name="AutoShape 11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9" name="AutoShape 11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0" name="AutoShape 12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1" name="AutoShape 12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3" name="AutoShape 12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4" name="AutoShape 12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5" name="AutoShape 12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7" name="AutoShape 12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8" name="AutoShape 12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9" name="AutoShape 12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17</xdr:row>
      <xdr:rowOff>0</xdr:rowOff>
    </xdr:from>
    <xdr:to>
      <xdr:col>1</xdr:col>
      <xdr:colOff>523875</xdr:colOff>
      <xdr:row>17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9650" y="38576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104900" y="38576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1">
      <selection activeCell="C10" sqref="C10"/>
    </sheetView>
  </sheetViews>
  <sheetFormatPr defaultColWidth="9.00390625" defaultRowHeight="12.75"/>
  <cols>
    <col min="1" max="1" width="8.125" style="27" customWidth="1"/>
    <col min="2" max="2" width="10.00390625" style="27" customWidth="1"/>
    <col min="3" max="3" width="64.00390625" style="27" customWidth="1"/>
    <col min="4" max="4" width="21.00390625" style="27" customWidth="1"/>
    <col min="5" max="6" width="14.75390625" style="27" customWidth="1"/>
    <col min="7" max="7" width="19.25390625" style="27" customWidth="1"/>
    <col min="8" max="8" width="12.00390625" style="27" customWidth="1"/>
    <col min="9" max="9" width="11.125" style="27" customWidth="1"/>
    <col min="10" max="10" width="15.25390625" style="27" customWidth="1"/>
    <col min="11" max="16384" width="9.125" style="27" customWidth="1"/>
  </cols>
  <sheetData>
    <row r="1" spans="2:6" ht="15" customHeight="1">
      <c r="B1" s="3"/>
      <c r="F1" s="27" t="s">
        <v>247</v>
      </c>
    </row>
    <row r="2" ht="15.75" customHeight="1">
      <c r="F2" s="27" t="s">
        <v>834</v>
      </c>
    </row>
    <row r="3" spans="3:6" ht="17.25" customHeight="1">
      <c r="C3" s="40" t="s">
        <v>226</v>
      </c>
      <c r="F3" s="27" t="s">
        <v>246</v>
      </c>
    </row>
    <row r="4" ht="17.25" customHeight="1">
      <c r="F4" s="27" t="s">
        <v>833</v>
      </c>
    </row>
    <row r="5" ht="18" customHeight="1" thickBot="1">
      <c r="G5" s="93" t="s">
        <v>332</v>
      </c>
    </row>
    <row r="6" spans="1:7" ht="83.25" customHeight="1" thickBot="1" thickTop="1">
      <c r="A6" s="41" t="s">
        <v>328</v>
      </c>
      <c r="B6" s="41" t="s">
        <v>329</v>
      </c>
      <c r="C6" s="42" t="s">
        <v>356</v>
      </c>
      <c r="D6" s="42" t="s">
        <v>284</v>
      </c>
      <c r="E6" s="42" t="s">
        <v>214</v>
      </c>
      <c r="F6" s="41" t="s">
        <v>215</v>
      </c>
      <c r="G6" s="42" t="s">
        <v>227</v>
      </c>
    </row>
    <row r="7" spans="1:7" s="43" customFormat="1" ht="15.75" customHeight="1" thickBot="1" thickTop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7</v>
      </c>
    </row>
    <row r="8" spans="1:10" ht="23.25" customHeight="1" thickBot="1" thickTop="1">
      <c r="A8" s="44"/>
      <c r="B8" s="44"/>
      <c r="C8" s="45" t="s">
        <v>228</v>
      </c>
      <c r="D8" s="46">
        <v>642163246</v>
      </c>
      <c r="E8" s="46">
        <f>E10+E29</f>
        <v>473000</v>
      </c>
      <c r="F8" s="46">
        <f>F10+F29</f>
        <v>1003198</v>
      </c>
      <c r="G8" s="46">
        <f aca="true" t="shared" si="0" ref="G8:G45">D8-E8+F8</f>
        <v>642693444</v>
      </c>
      <c r="H8" s="33"/>
      <c r="I8" s="33"/>
      <c r="J8" s="33"/>
    </row>
    <row r="9" spans="1:7" ht="15" customHeight="1" thickTop="1">
      <c r="A9" s="13"/>
      <c r="B9" s="13"/>
      <c r="C9" s="13" t="s">
        <v>224</v>
      </c>
      <c r="D9" s="14"/>
      <c r="E9" s="14"/>
      <c r="F9" s="14"/>
      <c r="G9" s="14"/>
    </row>
    <row r="10" spans="1:10" ht="19.5" customHeight="1" thickBot="1">
      <c r="A10" s="13"/>
      <c r="B10" s="13"/>
      <c r="C10" s="47" t="s">
        <v>234</v>
      </c>
      <c r="D10" s="48">
        <v>440797611</v>
      </c>
      <c r="E10" s="48">
        <f>E11+E12+E13+E20+E21</f>
        <v>473000</v>
      </c>
      <c r="F10" s="48">
        <f>F11+F12+F13+F20+F21</f>
        <v>523726</v>
      </c>
      <c r="G10" s="48">
        <f t="shared" si="0"/>
        <v>440848337</v>
      </c>
      <c r="H10" s="33"/>
      <c r="J10" s="33"/>
    </row>
    <row r="11" spans="1:7" ht="19.5" customHeight="1" thickBot="1">
      <c r="A11" s="13"/>
      <c r="B11" s="13"/>
      <c r="C11" s="49" t="s">
        <v>229</v>
      </c>
      <c r="D11" s="53">
        <v>289783520</v>
      </c>
      <c r="E11" s="50"/>
      <c r="F11" s="50"/>
      <c r="G11" s="53">
        <f t="shared" si="0"/>
        <v>289783520</v>
      </c>
    </row>
    <row r="12" spans="1:7" ht="19.5" customHeight="1" thickBot="1" thickTop="1">
      <c r="A12" s="13"/>
      <c r="B12" s="13"/>
      <c r="C12" s="51" t="s">
        <v>230</v>
      </c>
      <c r="D12" s="53">
        <v>111480693</v>
      </c>
      <c r="E12" s="53"/>
      <c r="F12" s="53"/>
      <c r="G12" s="53">
        <f t="shared" si="0"/>
        <v>111480693</v>
      </c>
    </row>
    <row r="13" spans="1:7" ht="19.5" customHeight="1" thickBot="1" thickTop="1">
      <c r="A13" s="29"/>
      <c r="B13" s="29"/>
      <c r="C13" s="51" t="s">
        <v>231</v>
      </c>
      <c r="D13" s="53">
        <v>5261451</v>
      </c>
      <c r="E13" s="53"/>
      <c r="F13" s="53">
        <f>F14+F17</f>
        <v>230736</v>
      </c>
      <c r="G13" s="53">
        <f t="shared" si="0"/>
        <v>5492187</v>
      </c>
    </row>
    <row r="14" spans="1:7" ht="19.5" customHeight="1" thickTop="1">
      <c r="A14" s="54">
        <v>801</v>
      </c>
      <c r="B14" s="55"/>
      <c r="C14" s="56" t="s">
        <v>262</v>
      </c>
      <c r="D14" s="57">
        <v>483468</v>
      </c>
      <c r="E14" s="57"/>
      <c r="F14" s="57">
        <f>F15</f>
        <v>176395</v>
      </c>
      <c r="G14" s="57">
        <f t="shared" si="0"/>
        <v>659863</v>
      </c>
    </row>
    <row r="15" spans="1:7" ht="19.5" customHeight="1">
      <c r="A15" s="59"/>
      <c r="B15" s="91">
        <v>80195</v>
      </c>
      <c r="C15" s="92" t="s">
        <v>235</v>
      </c>
      <c r="D15" s="267">
        <v>483468</v>
      </c>
      <c r="E15" s="267"/>
      <c r="F15" s="267">
        <f>F16</f>
        <v>176395</v>
      </c>
      <c r="G15" s="267">
        <f t="shared" si="0"/>
        <v>659863</v>
      </c>
    </row>
    <row r="16" spans="1:7" ht="27.75" customHeight="1">
      <c r="A16" s="261"/>
      <c r="B16" s="262"/>
      <c r="C16" s="323" t="s">
        <v>405</v>
      </c>
      <c r="D16" s="270">
        <v>483000</v>
      </c>
      <c r="E16" s="270"/>
      <c r="F16" s="270">
        <v>176395</v>
      </c>
      <c r="G16" s="270">
        <f t="shared" si="0"/>
        <v>659395</v>
      </c>
    </row>
    <row r="17" spans="1:7" ht="20.25" customHeight="1">
      <c r="A17" s="54">
        <v>854</v>
      </c>
      <c r="B17" s="55"/>
      <c r="C17" s="56" t="s">
        <v>280</v>
      </c>
      <c r="D17" s="57">
        <v>105000</v>
      </c>
      <c r="E17" s="57"/>
      <c r="F17" s="57">
        <f>F18</f>
        <v>54341</v>
      </c>
      <c r="G17" s="57">
        <f t="shared" si="0"/>
        <v>159341</v>
      </c>
    </row>
    <row r="18" spans="1:7" s="3" customFormat="1" ht="19.5" customHeight="1">
      <c r="A18" s="468"/>
      <c r="B18" s="70">
        <v>85495</v>
      </c>
      <c r="C18" s="92" t="s">
        <v>235</v>
      </c>
      <c r="D18" s="18">
        <v>105000</v>
      </c>
      <c r="E18" s="18"/>
      <c r="F18" s="18">
        <f>F19</f>
        <v>54341</v>
      </c>
      <c r="G18" s="267">
        <f t="shared" si="0"/>
        <v>159341</v>
      </c>
    </row>
    <row r="19" spans="1:7" ht="28.5" customHeight="1">
      <c r="A19" s="13"/>
      <c r="B19" s="85"/>
      <c r="C19" s="88" t="s">
        <v>405</v>
      </c>
      <c r="D19" s="277">
        <v>105000</v>
      </c>
      <c r="E19" s="277"/>
      <c r="F19" s="277">
        <v>54341</v>
      </c>
      <c r="G19" s="270">
        <f t="shared" si="0"/>
        <v>159341</v>
      </c>
    </row>
    <row r="20" spans="1:7" ht="20.25" customHeight="1" thickBot="1">
      <c r="A20" s="13"/>
      <c r="B20" s="13"/>
      <c r="C20" s="441" t="s">
        <v>236</v>
      </c>
      <c r="D20" s="442">
        <v>50452</v>
      </c>
      <c r="E20" s="442"/>
      <c r="F20" s="442"/>
      <c r="G20" s="442">
        <f t="shared" si="0"/>
        <v>50452</v>
      </c>
    </row>
    <row r="21" spans="1:7" ht="30.75" customHeight="1" thickBot="1" thickTop="1">
      <c r="A21" s="29"/>
      <c r="B21" s="29"/>
      <c r="C21" s="51" t="s">
        <v>232</v>
      </c>
      <c r="D21" s="53">
        <v>34221495</v>
      </c>
      <c r="E21" s="53">
        <f>E22</f>
        <v>473000</v>
      </c>
      <c r="F21" s="53">
        <f>F22</f>
        <v>292990</v>
      </c>
      <c r="G21" s="53">
        <f t="shared" si="0"/>
        <v>34041485</v>
      </c>
    </row>
    <row r="22" spans="1:7" ht="19.5" customHeight="1" thickTop="1">
      <c r="A22" s="54">
        <v>853</v>
      </c>
      <c r="B22" s="55"/>
      <c r="C22" s="56" t="s">
        <v>216</v>
      </c>
      <c r="D22" s="57">
        <v>28948880</v>
      </c>
      <c r="E22" s="57">
        <f>E23+E25+E27</f>
        <v>473000</v>
      </c>
      <c r="F22" s="57">
        <f>F23+F25+F27</f>
        <v>292990</v>
      </c>
      <c r="G22" s="57">
        <f t="shared" si="0"/>
        <v>28768870</v>
      </c>
    </row>
    <row r="23" spans="1:7" ht="25.5" customHeight="1">
      <c r="A23" s="90"/>
      <c r="B23" s="91">
        <v>85313</v>
      </c>
      <c r="C23" s="520" t="s">
        <v>408</v>
      </c>
      <c r="D23" s="62">
        <v>1473000</v>
      </c>
      <c r="E23" s="62">
        <f>E24</f>
        <v>473000</v>
      </c>
      <c r="F23" s="62"/>
      <c r="G23" s="62">
        <f t="shared" si="0"/>
        <v>1000000</v>
      </c>
    </row>
    <row r="24" spans="1:7" ht="39" customHeight="1">
      <c r="A24" s="29"/>
      <c r="B24" s="164"/>
      <c r="C24" s="323" t="s">
        <v>409</v>
      </c>
      <c r="D24" s="84">
        <v>1473000</v>
      </c>
      <c r="E24" s="84">
        <v>473000</v>
      </c>
      <c r="F24" s="84"/>
      <c r="G24" s="84">
        <f t="shared" si="0"/>
        <v>1000000</v>
      </c>
    </row>
    <row r="25" spans="1:7" ht="20.25" customHeight="1">
      <c r="A25" s="90"/>
      <c r="B25" s="60">
        <v>85314</v>
      </c>
      <c r="C25" s="61" t="s">
        <v>411</v>
      </c>
      <c r="D25" s="62">
        <v>20316000</v>
      </c>
      <c r="E25" s="62"/>
      <c r="F25" s="62">
        <f>F26</f>
        <v>292000</v>
      </c>
      <c r="G25" s="62">
        <f t="shared" si="0"/>
        <v>20608000</v>
      </c>
    </row>
    <row r="26" spans="1:7" ht="27.75" customHeight="1">
      <c r="A26" s="13"/>
      <c r="B26" s="164"/>
      <c r="C26" s="83" t="s">
        <v>412</v>
      </c>
      <c r="D26" s="84">
        <v>20316000</v>
      </c>
      <c r="E26" s="84"/>
      <c r="F26" s="84">
        <f>69000+223000</f>
        <v>292000</v>
      </c>
      <c r="G26" s="84">
        <f t="shared" si="0"/>
        <v>20608000</v>
      </c>
    </row>
    <row r="27" spans="1:7" ht="20.25" customHeight="1">
      <c r="A27" s="90"/>
      <c r="B27" s="60">
        <v>85395</v>
      </c>
      <c r="C27" s="61" t="s">
        <v>235</v>
      </c>
      <c r="D27" s="62">
        <v>29880</v>
      </c>
      <c r="E27" s="62"/>
      <c r="F27" s="62">
        <f>F28</f>
        <v>990</v>
      </c>
      <c r="G27" s="62">
        <f t="shared" si="0"/>
        <v>30870</v>
      </c>
    </row>
    <row r="28" spans="1:7" ht="19.5" customHeight="1">
      <c r="A28" s="13"/>
      <c r="B28" s="13"/>
      <c r="C28" s="83" t="s">
        <v>325</v>
      </c>
      <c r="D28" s="84">
        <v>29880</v>
      </c>
      <c r="E28" s="84"/>
      <c r="F28" s="84">
        <v>990</v>
      </c>
      <c r="G28" s="84">
        <f t="shared" si="0"/>
        <v>30870</v>
      </c>
    </row>
    <row r="29" spans="1:8" ht="19.5" customHeight="1" thickBot="1">
      <c r="A29" s="13"/>
      <c r="B29" s="13"/>
      <c r="C29" s="47" t="s">
        <v>233</v>
      </c>
      <c r="D29" s="48">
        <v>201365635</v>
      </c>
      <c r="E29" s="48"/>
      <c r="F29" s="48">
        <f>F30+F31+F32+F42+F43</f>
        <v>479472</v>
      </c>
      <c r="G29" s="48">
        <f t="shared" si="0"/>
        <v>201845107</v>
      </c>
      <c r="H29" s="33"/>
    </row>
    <row r="30" spans="1:8" s="28" customFormat="1" ht="19.5" customHeight="1" thickBot="1">
      <c r="A30" s="13"/>
      <c r="B30" s="13"/>
      <c r="C30" s="295" t="s">
        <v>229</v>
      </c>
      <c r="D30" s="50">
        <v>16742654</v>
      </c>
      <c r="E30" s="50"/>
      <c r="F30" s="50"/>
      <c r="G30" s="50">
        <f t="shared" si="0"/>
        <v>16742654</v>
      </c>
      <c r="H30" s="94"/>
    </row>
    <row r="31" spans="1:7" ht="19.5" customHeight="1" thickBot="1" thickTop="1">
      <c r="A31" s="13"/>
      <c r="B31" s="13"/>
      <c r="C31" s="51" t="s">
        <v>230</v>
      </c>
      <c r="D31" s="52">
        <v>138739658</v>
      </c>
      <c r="E31" s="52"/>
      <c r="F31" s="52"/>
      <c r="G31" s="52">
        <f t="shared" si="0"/>
        <v>138739658</v>
      </c>
    </row>
    <row r="32" spans="1:7" ht="19.5" customHeight="1" thickBot="1" thickTop="1">
      <c r="A32" s="13"/>
      <c r="B32" s="13"/>
      <c r="C32" s="51" t="s">
        <v>231</v>
      </c>
      <c r="D32" s="52">
        <v>22813691</v>
      </c>
      <c r="E32" s="52"/>
      <c r="F32" s="52">
        <f>F33+F36+F39</f>
        <v>467472</v>
      </c>
      <c r="G32" s="52">
        <f t="shared" si="0"/>
        <v>23281163</v>
      </c>
    </row>
    <row r="33" spans="1:7" ht="19.5" customHeight="1" thickTop="1">
      <c r="A33" s="423">
        <v>801</v>
      </c>
      <c r="B33" s="166"/>
      <c r="C33" s="56" t="s">
        <v>262</v>
      </c>
      <c r="D33" s="440">
        <v>583036</v>
      </c>
      <c r="E33" s="440"/>
      <c r="F33" s="440">
        <f>F34</f>
        <v>181230</v>
      </c>
      <c r="G33" s="57">
        <f t="shared" si="0"/>
        <v>764266</v>
      </c>
    </row>
    <row r="34" spans="1:7" ht="19.5" customHeight="1">
      <c r="A34" s="90"/>
      <c r="B34" s="10">
        <v>80195</v>
      </c>
      <c r="C34" s="92" t="s">
        <v>235</v>
      </c>
      <c r="D34" s="62">
        <v>498000</v>
      </c>
      <c r="E34" s="62"/>
      <c r="F34" s="62">
        <f>F35</f>
        <v>181230</v>
      </c>
      <c r="G34" s="62">
        <f t="shared" si="0"/>
        <v>679230</v>
      </c>
    </row>
    <row r="35" spans="1:7" ht="26.25" customHeight="1">
      <c r="A35" s="13"/>
      <c r="B35" s="13"/>
      <c r="C35" s="84" t="s">
        <v>406</v>
      </c>
      <c r="D35" s="84">
        <v>498000</v>
      </c>
      <c r="E35" s="84"/>
      <c r="F35" s="84">
        <v>181230</v>
      </c>
      <c r="G35" s="84">
        <f t="shared" si="0"/>
        <v>679230</v>
      </c>
    </row>
    <row r="36" spans="1:7" ht="19.5" customHeight="1">
      <c r="A36" s="423">
        <v>853</v>
      </c>
      <c r="B36" s="166"/>
      <c r="C36" s="56" t="s">
        <v>216</v>
      </c>
      <c r="D36" s="57">
        <v>21222396</v>
      </c>
      <c r="E36" s="57"/>
      <c r="F36" s="57">
        <f>F37</f>
        <v>250000</v>
      </c>
      <c r="G36" s="57">
        <f t="shared" si="0"/>
        <v>21472396</v>
      </c>
    </row>
    <row r="37" spans="1:7" ht="19.5" customHeight="1">
      <c r="A37" s="90"/>
      <c r="B37" s="10">
        <v>85304</v>
      </c>
      <c r="C37" s="70" t="s">
        <v>401</v>
      </c>
      <c r="D37" s="62">
        <v>4254110</v>
      </c>
      <c r="E37" s="62"/>
      <c r="F37" s="62">
        <f>F38</f>
        <v>250000</v>
      </c>
      <c r="G37" s="62">
        <f t="shared" si="0"/>
        <v>4504110</v>
      </c>
    </row>
    <row r="38" spans="1:7" ht="26.25" customHeight="1">
      <c r="A38" s="13"/>
      <c r="B38" s="13"/>
      <c r="C38" s="83" t="s">
        <v>402</v>
      </c>
      <c r="D38" s="84">
        <v>4254110</v>
      </c>
      <c r="E38" s="84"/>
      <c r="F38" s="84">
        <v>250000</v>
      </c>
      <c r="G38" s="84">
        <f t="shared" si="0"/>
        <v>4504110</v>
      </c>
    </row>
    <row r="39" spans="1:7" ht="19.5" customHeight="1">
      <c r="A39" s="423">
        <v>854</v>
      </c>
      <c r="B39" s="166"/>
      <c r="C39" s="56" t="s">
        <v>280</v>
      </c>
      <c r="D39" s="57">
        <v>349259</v>
      </c>
      <c r="E39" s="57"/>
      <c r="F39" s="57">
        <f>F40</f>
        <v>36242</v>
      </c>
      <c r="G39" s="57">
        <f t="shared" si="0"/>
        <v>385501</v>
      </c>
    </row>
    <row r="40" spans="1:7" ht="19.5" customHeight="1">
      <c r="A40" s="90"/>
      <c r="B40" s="10">
        <v>85495</v>
      </c>
      <c r="C40" s="171" t="s">
        <v>235</v>
      </c>
      <c r="D40" s="62">
        <v>72000</v>
      </c>
      <c r="E40" s="62"/>
      <c r="F40" s="62">
        <f>F41</f>
        <v>36242</v>
      </c>
      <c r="G40" s="62">
        <f t="shared" si="0"/>
        <v>108242</v>
      </c>
    </row>
    <row r="41" spans="1:7" ht="26.25" customHeight="1">
      <c r="A41" s="13"/>
      <c r="B41" s="13"/>
      <c r="C41" s="39" t="s">
        <v>406</v>
      </c>
      <c r="D41" s="84">
        <v>72000</v>
      </c>
      <c r="E41" s="84"/>
      <c r="F41" s="84">
        <v>36242</v>
      </c>
      <c r="G41" s="84">
        <f t="shared" si="0"/>
        <v>108242</v>
      </c>
    </row>
    <row r="42" spans="1:7" ht="19.5" customHeight="1" thickBot="1">
      <c r="A42" s="13"/>
      <c r="B42" s="13"/>
      <c r="C42" s="441" t="s">
        <v>236</v>
      </c>
      <c r="D42" s="510">
        <v>2774858</v>
      </c>
      <c r="E42" s="510"/>
      <c r="F42" s="510"/>
      <c r="G42" s="510">
        <f t="shared" si="0"/>
        <v>2774858</v>
      </c>
    </row>
    <row r="43" spans="1:7" ht="28.5" customHeight="1" thickBot="1" thickTop="1">
      <c r="A43" s="29"/>
      <c r="B43" s="29"/>
      <c r="C43" s="51" t="s">
        <v>258</v>
      </c>
      <c r="D43" s="52">
        <v>20294774</v>
      </c>
      <c r="E43" s="52"/>
      <c r="F43" s="52">
        <f>F44</f>
        <v>12000</v>
      </c>
      <c r="G43" s="52">
        <f t="shared" si="0"/>
        <v>20306774</v>
      </c>
    </row>
    <row r="44" spans="1:7" ht="19.5" customHeight="1" thickTop="1">
      <c r="A44" s="54">
        <v>853</v>
      </c>
      <c r="B44" s="55"/>
      <c r="C44" s="56" t="s">
        <v>216</v>
      </c>
      <c r="D44" s="57">
        <v>4171240</v>
      </c>
      <c r="E44" s="57"/>
      <c r="F44" s="57">
        <f>F45</f>
        <v>12000</v>
      </c>
      <c r="G44" s="57">
        <f t="shared" si="0"/>
        <v>4183240</v>
      </c>
    </row>
    <row r="45" spans="1:7" ht="19.5" customHeight="1">
      <c r="A45" s="90"/>
      <c r="B45" s="10">
        <v>85321</v>
      </c>
      <c r="C45" s="70" t="s">
        <v>397</v>
      </c>
      <c r="D45" s="62">
        <v>369200</v>
      </c>
      <c r="E45" s="62"/>
      <c r="F45" s="62">
        <f>F46</f>
        <v>12000</v>
      </c>
      <c r="G45" s="62">
        <f t="shared" si="0"/>
        <v>381200</v>
      </c>
    </row>
    <row r="46" spans="1:7" ht="24.75" customHeight="1">
      <c r="A46" s="29"/>
      <c r="B46" s="29"/>
      <c r="C46" s="83" t="s">
        <v>398</v>
      </c>
      <c r="D46" s="84">
        <v>359200</v>
      </c>
      <c r="E46" s="84"/>
      <c r="F46" s="84">
        <v>12000</v>
      </c>
      <c r="G46" s="84">
        <f>D46-E46+F46</f>
        <v>371200</v>
      </c>
    </row>
  </sheetData>
  <printOptions horizontalCentered="1"/>
  <pageMargins left="0.5905511811023623" right="0.5905511811023623" top="0.6692913385826772" bottom="0.5905511811023623" header="0.5118110236220472" footer="0.3937007874015748"/>
  <pageSetup firstPageNumber="4" useFirstPageNumber="1" horizontalDpi="300" verticalDpi="300" orientation="landscape" paperSize="9" scale="90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34"/>
  <sheetViews>
    <sheetView zoomScale="75" zoomScaleNormal="75" workbookViewId="0" topLeftCell="A9">
      <selection activeCell="AF26" sqref="AF26:AF27"/>
    </sheetView>
  </sheetViews>
  <sheetFormatPr defaultColWidth="9.00390625" defaultRowHeight="12.75"/>
  <cols>
    <col min="1" max="1" width="0.12890625" style="571" customWidth="1"/>
    <col min="2" max="2" width="43.00390625" style="387" customWidth="1"/>
    <col min="3" max="3" width="11.625" style="387" hidden="1" customWidth="1"/>
    <col min="4" max="4" width="10.875" style="574" hidden="1" customWidth="1"/>
    <col min="5" max="5" width="7.75390625" style="387" hidden="1" customWidth="1"/>
    <col min="6" max="6" width="11.75390625" style="387" customWidth="1"/>
    <col min="7" max="7" width="13.625" style="387" customWidth="1"/>
    <col min="8" max="8" width="10.00390625" style="387" hidden="1" customWidth="1"/>
    <col min="9" max="9" width="10.25390625" style="387" customWidth="1"/>
    <col min="10" max="10" width="9.00390625" style="387" customWidth="1"/>
    <col min="11" max="11" width="10.375" style="387" hidden="1" customWidth="1"/>
    <col min="12" max="12" width="9.625" style="387" hidden="1" customWidth="1"/>
    <col min="13" max="13" width="11.25390625" style="387" customWidth="1"/>
    <col min="14" max="14" width="8.625" style="387" hidden="1" customWidth="1"/>
    <col min="15" max="15" width="11.375" style="387" hidden="1" customWidth="1"/>
    <col min="16" max="16" width="9.25390625" style="387" customWidth="1"/>
    <col min="17" max="17" width="10.625" style="387" customWidth="1"/>
    <col min="18" max="18" width="9.375" style="387" hidden="1" customWidth="1"/>
    <col min="19" max="19" width="10.375" style="387" hidden="1" customWidth="1"/>
    <col min="20" max="20" width="10.625" style="387" customWidth="1"/>
    <col min="21" max="21" width="9.75390625" style="387" hidden="1" customWidth="1"/>
    <col min="22" max="22" width="8.875" style="387" hidden="1" customWidth="1"/>
    <col min="23" max="23" width="8.375" style="387" hidden="1" customWidth="1"/>
    <col min="24" max="24" width="11.125" style="387" customWidth="1"/>
    <col min="25" max="25" width="10.375" style="387" customWidth="1"/>
    <col min="26" max="26" width="11.125" style="387" hidden="1" customWidth="1"/>
    <col min="27" max="27" width="8.75390625" style="387" hidden="1" customWidth="1"/>
    <col min="28" max="28" width="9.875" style="387" hidden="1" customWidth="1"/>
    <col min="29" max="29" width="10.25390625" style="387" hidden="1" customWidth="1"/>
    <col min="30" max="30" width="10.625" style="387" hidden="1" customWidth="1"/>
    <col min="31" max="31" width="11.375" style="387" hidden="1" customWidth="1"/>
    <col min="32" max="32" width="11.75390625" style="387" customWidth="1"/>
    <col min="33" max="33" width="9.625" style="575" customWidth="1"/>
    <col min="34" max="34" width="11.125" style="576" customWidth="1"/>
    <col min="35" max="35" width="6.00390625" style="576" customWidth="1"/>
    <col min="36" max="16384" width="9.125" style="576" customWidth="1"/>
  </cols>
  <sheetData>
    <row r="1" spans="2:34" ht="15.75" customHeight="1">
      <c r="B1" s="572" t="s">
        <v>279</v>
      </c>
      <c r="C1" s="573"/>
      <c r="I1" s="573"/>
      <c r="AG1" s="387"/>
      <c r="AH1" s="575"/>
    </row>
    <row r="2" spans="1:34" ht="12.75">
      <c r="A2" s="577"/>
      <c r="C2" s="575"/>
      <c r="AG2" s="387"/>
      <c r="AH2" s="575"/>
    </row>
    <row r="3" spans="1:34" ht="14.25" customHeight="1" thickBot="1">
      <c r="A3" s="578"/>
      <c r="B3" s="579"/>
      <c r="C3" s="580"/>
      <c r="D3" s="581"/>
      <c r="E3" s="582"/>
      <c r="F3" s="582"/>
      <c r="G3" s="582" t="s">
        <v>826</v>
      </c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691" t="s">
        <v>332</v>
      </c>
      <c r="AG3" s="387"/>
      <c r="AH3" s="583"/>
    </row>
    <row r="4" spans="1:34" s="593" customFormat="1" ht="13.5" thickTop="1">
      <c r="A4" s="571"/>
      <c r="B4" s="584" t="s">
        <v>473</v>
      </c>
      <c r="C4" s="585" t="s">
        <v>474</v>
      </c>
      <c r="D4" s="586" t="s">
        <v>475</v>
      </c>
      <c r="E4" s="587" t="s">
        <v>476</v>
      </c>
      <c r="F4" s="587" t="s">
        <v>421</v>
      </c>
      <c r="G4" s="587" t="s">
        <v>477</v>
      </c>
      <c r="H4" s="587" t="s">
        <v>478</v>
      </c>
      <c r="I4" s="587" t="s">
        <v>479</v>
      </c>
      <c r="J4" s="587" t="s">
        <v>480</v>
      </c>
      <c r="K4" s="587" t="s">
        <v>481</v>
      </c>
      <c r="L4" s="587" t="s">
        <v>482</v>
      </c>
      <c r="M4" s="587" t="s">
        <v>422</v>
      </c>
      <c r="N4" s="587" t="s">
        <v>483</v>
      </c>
      <c r="O4" s="587" t="s">
        <v>484</v>
      </c>
      <c r="P4" s="587" t="s">
        <v>423</v>
      </c>
      <c r="Q4" s="588" t="s">
        <v>424</v>
      </c>
      <c r="R4" s="589"/>
      <c r="S4" s="590" t="s">
        <v>485</v>
      </c>
      <c r="T4" s="587" t="s">
        <v>425</v>
      </c>
      <c r="U4" s="587" t="s">
        <v>486</v>
      </c>
      <c r="V4" s="587" t="s">
        <v>487</v>
      </c>
      <c r="W4" s="587" t="s">
        <v>488</v>
      </c>
      <c r="X4" s="587" t="s">
        <v>489</v>
      </c>
      <c r="Y4" s="587" t="s">
        <v>490</v>
      </c>
      <c r="Z4" s="587" t="s">
        <v>491</v>
      </c>
      <c r="AA4" s="587" t="s">
        <v>492</v>
      </c>
      <c r="AB4" s="585" t="s">
        <v>493</v>
      </c>
      <c r="AC4" s="585" t="s">
        <v>494</v>
      </c>
      <c r="AD4" s="585" t="s">
        <v>495</v>
      </c>
      <c r="AE4" s="585" t="s">
        <v>426</v>
      </c>
      <c r="AF4" s="585" t="s">
        <v>427</v>
      </c>
      <c r="AG4" s="591"/>
      <c r="AH4" s="592"/>
    </row>
    <row r="5" spans="1:35" s="593" customFormat="1" ht="12.75">
      <c r="A5" s="571"/>
      <c r="B5" s="594" t="s">
        <v>496</v>
      </c>
      <c r="C5" s="595" t="s">
        <v>497</v>
      </c>
      <c r="D5" s="596" t="s">
        <v>498</v>
      </c>
      <c r="E5" s="598" t="s">
        <v>499</v>
      </c>
      <c r="F5" s="598" t="s">
        <v>144</v>
      </c>
      <c r="G5" s="597" t="s">
        <v>500</v>
      </c>
      <c r="H5" s="597" t="s">
        <v>501</v>
      </c>
      <c r="I5" s="597" t="s">
        <v>502</v>
      </c>
      <c r="J5" s="597" t="s">
        <v>503</v>
      </c>
      <c r="K5" s="597" t="s">
        <v>504</v>
      </c>
      <c r="L5" s="598" t="s">
        <v>505</v>
      </c>
      <c r="M5" s="597" t="s">
        <v>506</v>
      </c>
      <c r="N5" s="597" t="s">
        <v>507</v>
      </c>
      <c r="O5" s="597" t="s">
        <v>507</v>
      </c>
      <c r="P5" s="597" t="s">
        <v>507</v>
      </c>
      <c r="Q5" s="599" t="s">
        <v>507</v>
      </c>
      <c r="R5" s="600"/>
      <c r="S5" s="601" t="s">
        <v>508</v>
      </c>
      <c r="T5" s="597" t="s">
        <v>507</v>
      </c>
      <c r="U5" s="597" t="s">
        <v>509</v>
      </c>
      <c r="V5" s="597" t="s">
        <v>509</v>
      </c>
      <c r="W5" s="597" t="s">
        <v>510</v>
      </c>
      <c r="X5" s="602" t="s">
        <v>511</v>
      </c>
      <c r="Y5" s="597" t="s">
        <v>512</v>
      </c>
      <c r="Z5" s="597" t="s">
        <v>513</v>
      </c>
      <c r="AA5" s="603" t="s">
        <v>514</v>
      </c>
      <c r="AB5" s="603" t="s">
        <v>514</v>
      </c>
      <c r="AC5" s="598" t="s">
        <v>515</v>
      </c>
      <c r="AD5" s="602"/>
      <c r="AE5" s="602" t="s">
        <v>237</v>
      </c>
      <c r="AF5" s="604" t="s">
        <v>516</v>
      </c>
      <c r="AG5" s="605"/>
      <c r="AH5" s="592"/>
      <c r="AI5" s="606"/>
    </row>
    <row r="6" spans="1:35" s="593" customFormat="1" ht="12.75">
      <c r="A6" s="571"/>
      <c r="B6" s="594"/>
      <c r="C6" s="595" t="s">
        <v>517</v>
      </c>
      <c r="D6" s="596" t="s">
        <v>518</v>
      </c>
      <c r="E6" s="598" t="s">
        <v>520</v>
      </c>
      <c r="F6" s="598" t="s">
        <v>519</v>
      </c>
      <c r="G6" s="597" t="s">
        <v>521</v>
      </c>
      <c r="H6" s="597" t="s">
        <v>522</v>
      </c>
      <c r="I6" s="597" t="s">
        <v>523</v>
      </c>
      <c r="J6" s="597" t="s">
        <v>524</v>
      </c>
      <c r="K6" s="597" t="s">
        <v>525</v>
      </c>
      <c r="L6" s="598" t="s">
        <v>526</v>
      </c>
      <c r="M6" s="597" t="s">
        <v>527</v>
      </c>
      <c r="N6" s="597" t="s">
        <v>528</v>
      </c>
      <c r="O6" s="597" t="s">
        <v>529</v>
      </c>
      <c r="P6" s="597" t="s">
        <v>530</v>
      </c>
      <c r="Q6" s="597" t="s">
        <v>531</v>
      </c>
      <c r="R6" s="604"/>
      <c r="S6" s="601" t="s">
        <v>531</v>
      </c>
      <c r="T6" s="597" t="s">
        <v>532</v>
      </c>
      <c r="U6" s="597" t="s">
        <v>533</v>
      </c>
      <c r="V6" s="597" t="s">
        <v>533</v>
      </c>
      <c r="W6" s="597" t="s">
        <v>534</v>
      </c>
      <c r="X6" s="602" t="s">
        <v>535</v>
      </c>
      <c r="Y6" s="597" t="s">
        <v>536</v>
      </c>
      <c r="Z6" s="597" t="s">
        <v>537</v>
      </c>
      <c r="AA6" s="603" t="s">
        <v>538</v>
      </c>
      <c r="AB6" s="603" t="s">
        <v>538</v>
      </c>
      <c r="AC6" s="598" t="s">
        <v>539</v>
      </c>
      <c r="AD6" s="602" t="s">
        <v>540</v>
      </c>
      <c r="AE6" s="602" t="s">
        <v>541</v>
      </c>
      <c r="AF6" s="604" t="s">
        <v>542</v>
      </c>
      <c r="AG6" s="605"/>
      <c r="AH6" s="592"/>
      <c r="AI6" s="606"/>
    </row>
    <row r="7" spans="1:35" s="593" customFormat="1" ht="12.75">
      <c r="A7" s="571"/>
      <c r="B7" s="594"/>
      <c r="C7" s="595" t="s">
        <v>543</v>
      </c>
      <c r="D7" s="596" t="s">
        <v>544</v>
      </c>
      <c r="E7" s="597"/>
      <c r="F7" s="598" t="s">
        <v>521</v>
      </c>
      <c r="G7" s="597" t="s">
        <v>545</v>
      </c>
      <c r="H7" s="597" t="s">
        <v>546</v>
      </c>
      <c r="I7" s="597" t="s">
        <v>520</v>
      </c>
      <c r="J7" s="597" t="s">
        <v>547</v>
      </c>
      <c r="K7" s="598" t="s">
        <v>548</v>
      </c>
      <c r="L7" s="598" t="s">
        <v>547</v>
      </c>
      <c r="M7" s="597" t="s">
        <v>549</v>
      </c>
      <c r="N7" s="597" t="s">
        <v>550</v>
      </c>
      <c r="O7" s="597" t="s">
        <v>551</v>
      </c>
      <c r="P7" s="597"/>
      <c r="Q7" s="597" t="s">
        <v>105</v>
      </c>
      <c r="R7" s="607" t="s">
        <v>552</v>
      </c>
      <c r="S7" s="608" t="s">
        <v>553</v>
      </c>
      <c r="T7" s="597" t="s">
        <v>554</v>
      </c>
      <c r="U7" s="597" t="s">
        <v>555</v>
      </c>
      <c r="V7" s="597" t="s">
        <v>556</v>
      </c>
      <c r="W7" s="597" t="s">
        <v>557</v>
      </c>
      <c r="X7" s="602" t="s">
        <v>558</v>
      </c>
      <c r="Y7" s="598" t="s">
        <v>559</v>
      </c>
      <c r="Z7" s="597"/>
      <c r="AA7" s="603" t="s">
        <v>560</v>
      </c>
      <c r="AB7" s="603" t="s">
        <v>560</v>
      </c>
      <c r="AC7" s="598" t="s">
        <v>561</v>
      </c>
      <c r="AD7" s="602"/>
      <c r="AE7" s="602" t="s">
        <v>562</v>
      </c>
      <c r="AF7" s="602" t="s">
        <v>541</v>
      </c>
      <c r="AG7" s="609" t="s">
        <v>563</v>
      </c>
      <c r="AI7" s="606"/>
    </row>
    <row r="8" spans="1:35" s="593" customFormat="1" ht="12.75">
      <c r="A8" s="571"/>
      <c r="B8" s="610" t="s">
        <v>473</v>
      </c>
      <c r="C8" s="595" t="s">
        <v>564</v>
      </c>
      <c r="D8" s="596" t="s">
        <v>565</v>
      </c>
      <c r="E8" s="597"/>
      <c r="F8" s="598" t="s">
        <v>145</v>
      </c>
      <c r="G8" s="597"/>
      <c r="H8" s="597"/>
      <c r="I8" s="597"/>
      <c r="J8" s="597" t="s">
        <v>566</v>
      </c>
      <c r="K8" s="597" t="s">
        <v>567</v>
      </c>
      <c r="L8" s="598" t="s">
        <v>568</v>
      </c>
      <c r="M8" s="597" t="s">
        <v>569</v>
      </c>
      <c r="N8" s="597"/>
      <c r="O8" s="598" t="s">
        <v>570</v>
      </c>
      <c r="P8" s="597"/>
      <c r="Q8" s="597"/>
      <c r="R8" s="602" t="s">
        <v>571</v>
      </c>
      <c r="S8" s="602"/>
      <c r="T8" s="597"/>
      <c r="U8" s="597"/>
      <c r="V8" s="597"/>
      <c r="W8" s="597"/>
      <c r="X8" s="602" t="s">
        <v>572</v>
      </c>
      <c r="Y8" s="597"/>
      <c r="Z8" s="597"/>
      <c r="AA8" s="603" t="s">
        <v>573</v>
      </c>
      <c r="AB8" s="603" t="s">
        <v>574</v>
      </c>
      <c r="AC8" s="598" t="s">
        <v>549</v>
      </c>
      <c r="AD8" s="602"/>
      <c r="AE8" s="602" t="s">
        <v>575</v>
      </c>
      <c r="AF8" s="602" t="s">
        <v>562</v>
      </c>
      <c r="AG8" s="605"/>
      <c r="AI8" s="606"/>
    </row>
    <row r="9" spans="1:35" s="593" customFormat="1" ht="13.5" customHeight="1">
      <c r="A9" s="571"/>
      <c r="B9" s="610" t="s">
        <v>576</v>
      </c>
      <c r="C9" s="595" t="s">
        <v>577</v>
      </c>
      <c r="D9" s="596" t="s">
        <v>578</v>
      </c>
      <c r="E9" s="611"/>
      <c r="F9" s="612" t="s">
        <v>146</v>
      </c>
      <c r="G9" s="611"/>
      <c r="H9" s="611"/>
      <c r="I9" s="611"/>
      <c r="J9" s="611"/>
      <c r="K9" s="611"/>
      <c r="L9" s="612" t="s">
        <v>579</v>
      </c>
      <c r="M9" s="611"/>
      <c r="N9" s="611"/>
      <c r="O9" s="611" t="s">
        <v>580</v>
      </c>
      <c r="P9" s="611"/>
      <c r="Q9" s="611"/>
      <c r="R9" s="613"/>
      <c r="S9" s="613"/>
      <c r="T9" s="611"/>
      <c r="U9" s="611"/>
      <c r="V9" s="611"/>
      <c r="W9" s="611"/>
      <c r="X9" s="613" t="s">
        <v>581</v>
      </c>
      <c r="Y9" s="611"/>
      <c r="Z9" s="611"/>
      <c r="AA9" s="614" t="s">
        <v>582</v>
      </c>
      <c r="AB9" s="615" t="s">
        <v>583</v>
      </c>
      <c r="AC9" s="616" t="s">
        <v>584</v>
      </c>
      <c r="AD9" s="613"/>
      <c r="AE9" s="613"/>
      <c r="AF9" s="602" t="s">
        <v>575</v>
      </c>
      <c r="AG9" s="617"/>
      <c r="AI9" s="606"/>
    </row>
    <row r="10" spans="1:35" s="623" customFormat="1" ht="13.5" thickBot="1">
      <c r="A10" s="571"/>
      <c r="B10" s="618">
        <v>1</v>
      </c>
      <c r="C10" s="619">
        <v>7</v>
      </c>
      <c r="D10" s="619">
        <v>8</v>
      </c>
      <c r="E10" s="619">
        <v>10</v>
      </c>
      <c r="F10" s="619">
        <v>2</v>
      </c>
      <c r="G10" s="619">
        <v>3</v>
      </c>
      <c r="H10" s="619">
        <v>13</v>
      </c>
      <c r="I10" s="619">
        <v>4</v>
      </c>
      <c r="J10" s="619">
        <v>5</v>
      </c>
      <c r="K10" s="619">
        <v>16</v>
      </c>
      <c r="L10" s="619">
        <v>17</v>
      </c>
      <c r="M10" s="619">
        <v>6</v>
      </c>
      <c r="N10" s="619">
        <v>19</v>
      </c>
      <c r="O10" s="619">
        <v>20</v>
      </c>
      <c r="P10" s="619">
        <v>7</v>
      </c>
      <c r="Q10" s="619">
        <v>8</v>
      </c>
      <c r="R10" s="619">
        <v>23</v>
      </c>
      <c r="S10" s="619">
        <v>24</v>
      </c>
      <c r="T10" s="619">
        <v>9</v>
      </c>
      <c r="U10" s="619">
        <v>26</v>
      </c>
      <c r="V10" s="619">
        <v>27</v>
      </c>
      <c r="W10" s="619">
        <v>28</v>
      </c>
      <c r="X10" s="619">
        <v>10</v>
      </c>
      <c r="Y10" s="619">
        <v>11</v>
      </c>
      <c r="Z10" s="619"/>
      <c r="AA10" s="619">
        <v>30</v>
      </c>
      <c r="AB10" s="619">
        <v>31</v>
      </c>
      <c r="AC10" s="619">
        <v>32</v>
      </c>
      <c r="AD10" s="619">
        <v>33</v>
      </c>
      <c r="AE10" s="619">
        <v>34</v>
      </c>
      <c r="AF10" s="619">
        <v>12</v>
      </c>
      <c r="AG10" s="620">
        <v>13</v>
      </c>
      <c r="AH10" s="621"/>
      <c r="AI10" s="622"/>
    </row>
    <row r="11" spans="1:35" s="627" customFormat="1" ht="18" customHeight="1" thickBot="1" thickTop="1">
      <c r="A11" s="624"/>
      <c r="B11" s="683" t="s">
        <v>585</v>
      </c>
      <c r="C11" s="684" t="e">
        <f>C12+C135+#REF!+#REF!</f>
        <v>#REF!</v>
      </c>
      <c r="D11" s="684" t="e">
        <f>D12+D135+#REF!+#REF!</f>
        <v>#REF!</v>
      </c>
      <c r="E11" s="684" t="e">
        <f>E12+E135+#REF!+#REF!</f>
        <v>#REF!</v>
      </c>
      <c r="F11" s="684">
        <f>F12+F135</f>
        <v>-200</v>
      </c>
      <c r="G11" s="684">
        <f aca="true" t="shared" si="0" ref="G11:AF11">G12+G135</f>
        <v>0</v>
      </c>
      <c r="H11" s="684">
        <f t="shared" si="0"/>
        <v>0</v>
      </c>
      <c r="I11" s="684">
        <f t="shared" si="0"/>
        <v>705</v>
      </c>
      <c r="J11" s="684">
        <f t="shared" si="0"/>
        <v>95</v>
      </c>
      <c r="K11" s="684" t="e">
        <f t="shared" si="0"/>
        <v>#REF!</v>
      </c>
      <c r="L11" s="684" t="e">
        <f t="shared" si="0"/>
        <v>#REF!</v>
      </c>
      <c r="M11" s="684">
        <f t="shared" si="0"/>
        <v>-2700</v>
      </c>
      <c r="N11" s="684">
        <f t="shared" si="0"/>
        <v>0</v>
      </c>
      <c r="O11" s="684">
        <f t="shared" si="0"/>
        <v>0</v>
      </c>
      <c r="P11" s="684">
        <f t="shared" si="0"/>
        <v>130800</v>
      </c>
      <c r="Q11" s="684">
        <f t="shared" si="0"/>
        <v>85139</v>
      </c>
      <c r="R11" s="684">
        <f t="shared" si="0"/>
        <v>0</v>
      </c>
      <c r="S11" s="684">
        <f t="shared" si="0"/>
        <v>0</v>
      </c>
      <c r="T11" s="684">
        <f t="shared" si="0"/>
        <v>94936</v>
      </c>
      <c r="U11" s="684" t="e">
        <f t="shared" si="0"/>
        <v>#REF!</v>
      </c>
      <c r="V11" s="684" t="e">
        <f t="shared" si="0"/>
        <v>#REF!</v>
      </c>
      <c r="W11" s="684" t="e">
        <f t="shared" si="0"/>
        <v>#REF!</v>
      </c>
      <c r="X11" s="684">
        <f t="shared" si="0"/>
        <v>445711</v>
      </c>
      <c r="Y11" s="684">
        <f t="shared" si="0"/>
        <v>2500</v>
      </c>
      <c r="Z11" s="684" t="e">
        <f t="shared" si="0"/>
        <v>#REF!</v>
      </c>
      <c r="AA11" s="684" t="e">
        <f t="shared" si="0"/>
        <v>#REF!</v>
      </c>
      <c r="AB11" s="684" t="e">
        <f t="shared" si="0"/>
        <v>#REF!</v>
      </c>
      <c r="AC11" s="684" t="e">
        <f t="shared" si="0"/>
        <v>#REF!</v>
      </c>
      <c r="AD11" s="684" t="e">
        <f t="shared" si="0"/>
        <v>#REF!</v>
      </c>
      <c r="AE11" s="684" t="e">
        <f t="shared" si="0"/>
        <v>#REF!</v>
      </c>
      <c r="AF11" s="684">
        <f t="shared" si="0"/>
        <v>8300</v>
      </c>
      <c r="AG11" s="677">
        <f>F11+G11+I11+J11+M11+P11+Q11+T11+X11+Y11+AF11</f>
        <v>765286</v>
      </c>
      <c r="AH11" s="626"/>
      <c r="AI11" s="606"/>
    </row>
    <row r="12" spans="1:35" s="593" customFormat="1" ht="18" customHeight="1" thickBot="1" thickTop="1">
      <c r="A12" s="628"/>
      <c r="B12" s="688" t="s">
        <v>586</v>
      </c>
      <c r="C12" s="689" t="e">
        <f>C13+#REF!+#REF!+#REF!+#REF!+#REF!+#REF!+C20+#REF!+C23+C27+#REF!+#REF!+#REF!+#REF!+C47+#REF!</f>
        <v>#REF!</v>
      </c>
      <c r="D12" s="689" t="e">
        <f>D13+#REF!+#REF!+#REF!+#REF!+#REF!+#REF!+D20+#REF!+D23+D27+#REF!+#REF!+#REF!+#REF!+D47+#REF!</f>
        <v>#REF!</v>
      </c>
      <c r="E12" s="689" t="e">
        <f>E13+#REF!+#REF!+#REF!+#REF!+#REF!+#REF!+#REF!+E20+#REF!+E23+E27+#REF!+#REF!+#REF!+#REF!+E47+#REF!</f>
        <v>#REF!</v>
      </c>
      <c r="F12" s="689"/>
      <c r="G12" s="689">
        <f aca="true" t="shared" si="1" ref="G12:AF12">G13+G20+G23+G27+G47</f>
        <v>0</v>
      </c>
      <c r="H12" s="689">
        <f t="shared" si="1"/>
        <v>0</v>
      </c>
      <c r="I12" s="689">
        <f t="shared" si="1"/>
        <v>705</v>
      </c>
      <c r="J12" s="689">
        <f t="shared" si="1"/>
        <v>95</v>
      </c>
      <c r="K12" s="689">
        <f t="shared" si="1"/>
        <v>0</v>
      </c>
      <c r="L12" s="689">
        <f t="shared" si="1"/>
        <v>0</v>
      </c>
      <c r="M12" s="689">
        <f t="shared" si="1"/>
        <v>-1100</v>
      </c>
      <c r="N12" s="689">
        <f t="shared" si="1"/>
        <v>0</v>
      </c>
      <c r="O12" s="689">
        <f t="shared" si="1"/>
        <v>0</v>
      </c>
      <c r="P12" s="689">
        <f t="shared" si="1"/>
        <v>95000</v>
      </c>
      <c r="Q12" s="689">
        <f>Q13+Q20+Q23+Q27+Q47+Q18</f>
        <v>70839</v>
      </c>
      <c r="R12" s="689">
        <f t="shared" si="1"/>
        <v>0</v>
      </c>
      <c r="S12" s="689">
        <f t="shared" si="1"/>
        <v>0</v>
      </c>
      <c r="T12" s="689">
        <f t="shared" si="1"/>
        <v>99536</v>
      </c>
      <c r="U12" s="689">
        <f t="shared" si="1"/>
        <v>0</v>
      </c>
      <c r="V12" s="689">
        <f t="shared" si="1"/>
        <v>0</v>
      </c>
      <c r="W12" s="689">
        <f t="shared" si="1"/>
        <v>0</v>
      </c>
      <c r="X12" s="689">
        <f t="shared" si="1"/>
        <v>355128</v>
      </c>
      <c r="Y12" s="689"/>
      <c r="Z12" s="689">
        <f t="shared" si="1"/>
        <v>0</v>
      </c>
      <c r="AA12" s="689">
        <f t="shared" si="1"/>
        <v>0</v>
      </c>
      <c r="AB12" s="689">
        <f t="shared" si="1"/>
        <v>0</v>
      </c>
      <c r="AC12" s="689">
        <f t="shared" si="1"/>
        <v>0</v>
      </c>
      <c r="AD12" s="689">
        <f t="shared" si="1"/>
        <v>0</v>
      </c>
      <c r="AE12" s="689">
        <f t="shared" si="1"/>
        <v>0</v>
      </c>
      <c r="AF12" s="689">
        <f t="shared" si="1"/>
        <v>4000</v>
      </c>
      <c r="AG12" s="681">
        <f>F12+G12+I12+J12+M12+P12+Q12+T12+X12+Y12+AF12</f>
        <v>624203</v>
      </c>
      <c r="AH12" s="629"/>
      <c r="AI12" s="606"/>
    </row>
    <row r="13" spans="1:35" s="593" customFormat="1" ht="18" customHeight="1" thickBot="1" thickTop="1">
      <c r="A13" s="630">
        <v>80101</v>
      </c>
      <c r="B13" s="685" t="s">
        <v>587</v>
      </c>
      <c r="C13" s="686">
        <f>SUM(C14:C17)</f>
        <v>0</v>
      </c>
      <c r="D13" s="686">
        <f>SUM(D14:D17)</f>
        <v>0</v>
      </c>
      <c r="E13" s="686">
        <f>SUM(E14:E17)</f>
        <v>0</v>
      </c>
      <c r="F13" s="686"/>
      <c r="G13" s="686"/>
      <c r="H13" s="686">
        <f aca="true" t="shared" si="2" ref="H13:P13">SUM(H14:H17)</f>
        <v>0</v>
      </c>
      <c r="I13" s="686">
        <f t="shared" si="2"/>
        <v>705</v>
      </c>
      <c r="J13" s="686">
        <f t="shared" si="2"/>
        <v>95</v>
      </c>
      <c r="K13" s="686">
        <f t="shared" si="2"/>
        <v>0</v>
      </c>
      <c r="L13" s="686">
        <f t="shared" si="2"/>
        <v>0</v>
      </c>
      <c r="M13" s="686">
        <f t="shared" si="2"/>
        <v>500</v>
      </c>
      <c r="N13" s="686">
        <f t="shared" si="2"/>
        <v>0</v>
      </c>
      <c r="O13" s="686">
        <f t="shared" si="2"/>
        <v>0</v>
      </c>
      <c r="P13" s="686">
        <f t="shared" si="2"/>
        <v>95000</v>
      </c>
      <c r="Q13" s="686">
        <f aca="true" t="shared" si="3" ref="Q13:W13">SUM(Q14:Q17)</f>
        <v>50000</v>
      </c>
      <c r="R13" s="686">
        <f t="shared" si="3"/>
        <v>0</v>
      </c>
      <c r="S13" s="686">
        <f t="shared" si="3"/>
        <v>0</v>
      </c>
      <c r="T13" s="686">
        <f t="shared" si="3"/>
        <v>6500</v>
      </c>
      <c r="U13" s="686">
        <f t="shared" si="3"/>
        <v>0</v>
      </c>
      <c r="V13" s="686">
        <f t="shared" si="3"/>
        <v>0</v>
      </c>
      <c r="W13" s="686">
        <f t="shared" si="3"/>
        <v>0</v>
      </c>
      <c r="X13" s="686"/>
      <c r="Y13" s="686"/>
      <c r="Z13" s="686">
        <f aca="true" t="shared" si="4" ref="Z13:AE13">SUM(Z14:Z17)</f>
        <v>0</v>
      </c>
      <c r="AA13" s="686">
        <f t="shared" si="4"/>
        <v>0</v>
      </c>
      <c r="AB13" s="686">
        <f t="shared" si="4"/>
        <v>0</v>
      </c>
      <c r="AC13" s="686">
        <f t="shared" si="4"/>
        <v>0</v>
      </c>
      <c r="AD13" s="686">
        <f t="shared" si="4"/>
        <v>0</v>
      </c>
      <c r="AE13" s="686">
        <f t="shared" si="4"/>
        <v>0</v>
      </c>
      <c r="AF13" s="687"/>
      <c r="AG13" s="680">
        <f aca="true" t="shared" si="5" ref="AG13:AG47">SUM(C13:AF13)-R13</f>
        <v>152800</v>
      </c>
      <c r="AH13" s="629"/>
      <c r="AI13" s="606"/>
    </row>
    <row r="14" spans="1:35" ht="18" customHeight="1">
      <c r="A14" s="632">
        <v>21</v>
      </c>
      <c r="B14" s="633" t="s">
        <v>605</v>
      </c>
      <c r="C14" s="634"/>
      <c r="D14" s="634"/>
      <c r="E14" s="635"/>
      <c r="F14" s="635"/>
      <c r="G14" s="635"/>
      <c r="H14" s="635"/>
      <c r="I14" s="635"/>
      <c r="J14" s="635"/>
      <c r="K14" s="635"/>
      <c r="L14" s="635"/>
      <c r="M14" s="635"/>
      <c r="N14" s="635"/>
      <c r="O14" s="635"/>
      <c r="P14" s="635">
        <v>25000</v>
      </c>
      <c r="Q14" s="635"/>
      <c r="R14" s="635"/>
      <c r="S14" s="635"/>
      <c r="T14" s="635"/>
      <c r="U14" s="635"/>
      <c r="V14" s="635"/>
      <c r="W14" s="635"/>
      <c r="X14" s="635"/>
      <c r="Y14" s="635"/>
      <c r="Z14" s="635"/>
      <c r="AA14" s="635"/>
      <c r="AB14" s="635"/>
      <c r="AC14" s="635"/>
      <c r="AD14" s="635"/>
      <c r="AE14" s="635"/>
      <c r="AF14" s="635"/>
      <c r="AG14" s="678">
        <f t="shared" si="5"/>
        <v>25000</v>
      </c>
      <c r="AH14" s="629"/>
      <c r="AI14" s="606"/>
    </row>
    <row r="15" spans="1:35" ht="18" customHeight="1">
      <c r="A15" s="632">
        <v>25</v>
      </c>
      <c r="B15" s="633" t="s">
        <v>609</v>
      </c>
      <c r="C15" s="634"/>
      <c r="D15" s="634"/>
      <c r="E15" s="635"/>
      <c r="F15" s="635"/>
      <c r="G15" s="635"/>
      <c r="H15" s="635"/>
      <c r="I15" s="635">
        <v>705</v>
      </c>
      <c r="J15" s="635">
        <v>95</v>
      </c>
      <c r="K15" s="635"/>
      <c r="L15" s="635"/>
      <c r="M15" s="635">
        <v>500</v>
      </c>
      <c r="N15" s="635"/>
      <c r="O15" s="635"/>
      <c r="P15" s="635">
        <v>25000</v>
      </c>
      <c r="Q15" s="635"/>
      <c r="R15" s="635"/>
      <c r="S15" s="635"/>
      <c r="T15" s="635">
        <v>6500</v>
      </c>
      <c r="U15" s="635"/>
      <c r="V15" s="635"/>
      <c r="W15" s="635"/>
      <c r="X15" s="635"/>
      <c r="Y15" s="635"/>
      <c r="Z15" s="635"/>
      <c r="AA15" s="635"/>
      <c r="AB15" s="635"/>
      <c r="AC15" s="635"/>
      <c r="AD15" s="635"/>
      <c r="AE15" s="635"/>
      <c r="AF15" s="635"/>
      <c r="AG15" s="625">
        <f t="shared" si="5"/>
        <v>32800</v>
      </c>
      <c r="AH15" s="629"/>
      <c r="AI15" s="606"/>
    </row>
    <row r="16" spans="1:35" ht="18" customHeight="1">
      <c r="A16" s="632"/>
      <c r="B16" s="633" t="s">
        <v>614</v>
      </c>
      <c r="C16" s="634"/>
      <c r="D16" s="634"/>
      <c r="E16" s="635"/>
      <c r="F16" s="635"/>
      <c r="G16" s="635"/>
      <c r="H16" s="635"/>
      <c r="I16" s="635"/>
      <c r="J16" s="635"/>
      <c r="K16" s="635"/>
      <c r="L16" s="635"/>
      <c r="M16" s="635"/>
      <c r="N16" s="635"/>
      <c r="O16" s="635"/>
      <c r="P16" s="635"/>
      <c r="Q16" s="635">
        <v>50000</v>
      </c>
      <c r="R16" s="635"/>
      <c r="S16" s="635"/>
      <c r="T16" s="635"/>
      <c r="U16" s="635"/>
      <c r="V16" s="635"/>
      <c r="W16" s="635"/>
      <c r="X16" s="635"/>
      <c r="Y16" s="635"/>
      <c r="Z16" s="635"/>
      <c r="AA16" s="635"/>
      <c r="AB16" s="635"/>
      <c r="AC16" s="635"/>
      <c r="AD16" s="635"/>
      <c r="AE16" s="635"/>
      <c r="AF16" s="635"/>
      <c r="AG16" s="625">
        <f t="shared" si="5"/>
        <v>50000</v>
      </c>
      <c r="AH16" s="629"/>
      <c r="AI16" s="606"/>
    </row>
    <row r="17" spans="1:35" ht="18" customHeight="1" thickBot="1">
      <c r="A17" s="632">
        <v>51</v>
      </c>
      <c r="B17" s="633" t="s">
        <v>632</v>
      </c>
      <c r="C17" s="634"/>
      <c r="D17" s="634"/>
      <c r="E17" s="635"/>
      <c r="F17" s="635"/>
      <c r="G17" s="635"/>
      <c r="H17" s="635"/>
      <c r="I17" s="635"/>
      <c r="J17" s="635"/>
      <c r="K17" s="635"/>
      <c r="L17" s="635"/>
      <c r="M17" s="635"/>
      <c r="N17" s="635"/>
      <c r="O17" s="635"/>
      <c r="P17" s="635">
        <v>45000</v>
      </c>
      <c r="Q17" s="635"/>
      <c r="R17" s="635"/>
      <c r="S17" s="635"/>
      <c r="T17" s="635"/>
      <c r="U17" s="635"/>
      <c r="V17" s="635"/>
      <c r="W17" s="635"/>
      <c r="X17" s="635"/>
      <c r="Y17" s="635"/>
      <c r="Z17" s="635"/>
      <c r="AA17" s="635"/>
      <c r="AB17" s="635"/>
      <c r="AC17" s="635"/>
      <c r="AD17" s="635"/>
      <c r="AE17" s="635"/>
      <c r="AF17" s="635"/>
      <c r="AG17" s="625">
        <f t="shared" si="5"/>
        <v>45000</v>
      </c>
      <c r="AH17" s="629"/>
      <c r="AI17" s="606"/>
    </row>
    <row r="18" spans="1:34" s="570" customFormat="1" ht="19.5" customHeight="1" thickBot="1">
      <c r="A18" s="643"/>
      <c r="B18" s="631" t="s">
        <v>806</v>
      </c>
      <c r="C18" s="645"/>
      <c r="D18" s="645"/>
      <c r="E18" s="645"/>
      <c r="F18" s="645"/>
      <c r="G18" s="645"/>
      <c r="H18" s="645"/>
      <c r="I18" s="645"/>
      <c r="J18" s="645"/>
      <c r="K18" s="645"/>
      <c r="L18" s="645"/>
      <c r="M18" s="645"/>
      <c r="N18" s="645"/>
      <c r="O18" s="645"/>
      <c r="P18" s="645"/>
      <c r="Q18" s="645">
        <f>Q19</f>
        <v>13239</v>
      </c>
      <c r="R18" s="645"/>
      <c r="S18" s="645"/>
      <c r="T18" s="645"/>
      <c r="U18" s="645"/>
      <c r="V18" s="645"/>
      <c r="W18" s="645"/>
      <c r="X18" s="645"/>
      <c r="Y18" s="645"/>
      <c r="Z18" s="645"/>
      <c r="AA18" s="645"/>
      <c r="AB18" s="645"/>
      <c r="AC18" s="645"/>
      <c r="AD18" s="645"/>
      <c r="AE18" s="645"/>
      <c r="AF18" s="645"/>
      <c r="AG18" s="679">
        <f t="shared" si="5"/>
        <v>13239</v>
      </c>
      <c r="AH18" s="629"/>
    </row>
    <row r="19" spans="1:34" s="570" customFormat="1" ht="18" customHeight="1" thickBot="1">
      <c r="A19" s="641"/>
      <c r="B19" s="649" t="s">
        <v>634</v>
      </c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46"/>
      <c r="N19" s="646"/>
      <c r="O19" s="646"/>
      <c r="P19" s="646"/>
      <c r="Q19" s="646">
        <v>13239</v>
      </c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25">
        <f t="shared" si="5"/>
        <v>13239</v>
      </c>
      <c r="AH19" s="629"/>
    </row>
    <row r="20" spans="1:34" s="570" customFormat="1" ht="19.5" customHeight="1" thickBot="1">
      <c r="A20" s="643">
        <v>80120</v>
      </c>
      <c r="B20" s="631" t="s">
        <v>639</v>
      </c>
      <c r="C20" s="645">
        <f>SUM(C21:C22)</f>
        <v>0</v>
      </c>
      <c r="D20" s="645">
        <f>SUM(D21:D22)</f>
        <v>0</v>
      </c>
      <c r="E20" s="645">
        <f>SUM(E21:E22)</f>
        <v>0</v>
      </c>
      <c r="F20" s="645"/>
      <c r="G20" s="645"/>
      <c r="H20" s="645"/>
      <c r="I20" s="645"/>
      <c r="J20" s="645"/>
      <c r="K20" s="645">
        <f>SUM(K21:K22)</f>
        <v>0</v>
      </c>
      <c r="L20" s="645">
        <f>SUM(L21:L22)</f>
        <v>0</v>
      </c>
      <c r="M20" s="645">
        <f>SUM(M21:M22)</f>
        <v>-4600</v>
      </c>
      <c r="N20" s="645">
        <f>SUM(N21:N22)</f>
        <v>0</v>
      </c>
      <c r="O20" s="645">
        <f>SUM(O21:O22)</f>
        <v>0</v>
      </c>
      <c r="P20" s="645"/>
      <c r="Q20" s="645">
        <f aca="true" t="shared" si="6" ref="Q20:W20">SUM(Q21:Q22)</f>
        <v>7600</v>
      </c>
      <c r="R20" s="645">
        <f t="shared" si="6"/>
        <v>0</v>
      </c>
      <c r="S20" s="645">
        <f t="shared" si="6"/>
        <v>0</v>
      </c>
      <c r="T20" s="645">
        <f t="shared" si="6"/>
        <v>5000</v>
      </c>
      <c r="U20" s="645">
        <f t="shared" si="6"/>
        <v>0</v>
      </c>
      <c r="V20" s="645">
        <f t="shared" si="6"/>
        <v>0</v>
      </c>
      <c r="W20" s="645">
        <f t="shared" si="6"/>
        <v>0</v>
      </c>
      <c r="X20" s="645"/>
      <c r="Y20" s="645"/>
      <c r="Z20" s="645"/>
      <c r="AA20" s="645"/>
      <c r="AB20" s="645"/>
      <c r="AC20" s="645"/>
      <c r="AD20" s="645"/>
      <c r="AE20" s="645"/>
      <c r="AF20" s="645"/>
      <c r="AG20" s="679">
        <f t="shared" si="5"/>
        <v>8000</v>
      </c>
      <c r="AH20" s="629"/>
    </row>
    <row r="21" spans="1:34" s="570" customFormat="1" ht="18" customHeight="1">
      <c r="A21" s="641" t="s">
        <v>646</v>
      </c>
      <c r="B21" s="649" t="s">
        <v>647</v>
      </c>
      <c r="C21" s="646"/>
      <c r="D21" s="646"/>
      <c r="E21" s="646"/>
      <c r="F21" s="646"/>
      <c r="G21" s="646"/>
      <c r="H21" s="646"/>
      <c r="I21" s="646"/>
      <c r="J21" s="646"/>
      <c r="K21" s="646"/>
      <c r="L21" s="646"/>
      <c r="M21" s="646">
        <v>3000</v>
      </c>
      <c r="N21" s="646"/>
      <c r="O21" s="646"/>
      <c r="P21" s="646"/>
      <c r="Q21" s="646"/>
      <c r="R21" s="646"/>
      <c r="S21" s="646"/>
      <c r="T21" s="646">
        <v>5000</v>
      </c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25">
        <f t="shared" si="5"/>
        <v>8000</v>
      </c>
      <c r="AH21" s="629"/>
    </row>
    <row r="22" spans="1:34" s="570" customFormat="1" ht="18" customHeight="1" thickBot="1">
      <c r="A22" s="641" t="s">
        <v>648</v>
      </c>
      <c r="B22" s="649" t="s">
        <v>649</v>
      </c>
      <c r="C22" s="646"/>
      <c r="D22" s="646"/>
      <c r="E22" s="646"/>
      <c r="F22" s="646"/>
      <c r="G22" s="646"/>
      <c r="H22" s="646"/>
      <c r="I22" s="646"/>
      <c r="J22" s="646"/>
      <c r="K22" s="646"/>
      <c r="L22" s="646"/>
      <c r="M22" s="646">
        <v>-7600</v>
      </c>
      <c r="N22" s="646"/>
      <c r="O22" s="646"/>
      <c r="P22" s="646"/>
      <c r="Q22" s="646">
        <v>7600</v>
      </c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25">
        <f t="shared" si="5"/>
        <v>0</v>
      </c>
      <c r="AH22" s="629"/>
    </row>
    <row r="23" spans="1:34" s="570" customFormat="1" ht="19.5" customHeight="1" thickBot="1">
      <c r="A23" s="643">
        <v>80123</v>
      </c>
      <c r="B23" s="631" t="s">
        <v>656</v>
      </c>
      <c r="C23" s="645">
        <f>SUM(C24:C26)</f>
        <v>0</v>
      </c>
      <c r="D23" s="645">
        <f>SUM(D24:D26)</f>
        <v>0</v>
      </c>
      <c r="E23" s="645">
        <f>SUM(E24:E26)</f>
        <v>0</v>
      </c>
      <c r="F23" s="645"/>
      <c r="G23" s="645">
        <f aca="true" t="shared" si="7" ref="G23:O23">SUM(G24:G26)</f>
        <v>165630</v>
      </c>
      <c r="H23" s="645">
        <f t="shared" si="7"/>
        <v>0</v>
      </c>
      <c r="I23" s="645">
        <f t="shared" si="7"/>
        <v>27410</v>
      </c>
      <c r="J23" s="645">
        <f t="shared" si="7"/>
        <v>4250</v>
      </c>
      <c r="K23" s="645">
        <f t="shared" si="7"/>
        <v>0</v>
      </c>
      <c r="L23" s="645">
        <f t="shared" si="7"/>
        <v>0</v>
      </c>
      <c r="M23" s="645">
        <f t="shared" si="7"/>
        <v>1000</v>
      </c>
      <c r="N23" s="645">
        <f t="shared" si="7"/>
        <v>0</v>
      </c>
      <c r="O23" s="645">
        <f t="shared" si="7"/>
        <v>0</v>
      </c>
      <c r="P23" s="645"/>
      <c r="Q23" s="645"/>
      <c r="R23" s="645">
        <f>SUM(R24:R26)</f>
        <v>0</v>
      </c>
      <c r="S23" s="645">
        <f>SUM(S24:S26)</f>
        <v>0</v>
      </c>
      <c r="T23" s="645"/>
      <c r="U23" s="645">
        <f>SUM(U24:U26)</f>
        <v>0</v>
      </c>
      <c r="V23" s="645">
        <f>SUM(V24:V26)</f>
        <v>0</v>
      </c>
      <c r="W23" s="645">
        <f>SUM(W24:W26)</f>
        <v>0</v>
      </c>
      <c r="X23" s="645">
        <f>SUM(X24:X26)</f>
        <v>10870</v>
      </c>
      <c r="Y23" s="645"/>
      <c r="Z23" s="645">
        <f>SUM(Z24:Z26)</f>
        <v>0</v>
      </c>
      <c r="AA23" s="645"/>
      <c r="AB23" s="645"/>
      <c r="AC23" s="645"/>
      <c r="AD23" s="645"/>
      <c r="AE23" s="645"/>
      <c r="AF23" s="645"/>
      <c r="AG23" s="679">
        <f t="shared" si="5"/>
        <v>209160</v>
      </c>
      <c r="AH23" s="629"/>
    </row>
    <row r="24" spans="1:34" s="570" customFormat="1" ht="30" customHeight="1">
      <c r="A24" s="637" t="s">
        <v>657</v>
      </c>
      <c r="B24" s="651" t="s">
        <v>658</v>
      </c>
      <c r="C24" s="650"/>
      <c r="D24" s="650"/>
      <c r="E24" s="650"/>
      <c r="F24" s="744"/>
      <c r="G24" s="744">
        <v>150000</v>
      </c>
      <c r="H24" s="744"/>
      <c r="I24" s="744">
        <v>24880</v>
      </c>
      <c r="J24" s="744">
        <v>3540</v>
      </c>
      <c r="K24" s="744"/>
      <c r="L24" s="744"/>
      <c r="M24" s="744"/>
      <c r="N24" s="744"/>
      <c r="O24" s="744"/>
      <c r="P24" s="744"/>
      <c r="Q24" s="744"/>
      <c r="R24" s="744"/>
      <c r="S24" s="744"/>
      <c r="T24" s="744"/>
      <c r="U24" s="744"/>
      <c r="V24" s="744"/>
      <c r="W24" s="744"/>
      <c r="X24" s="744">
        <v>9700</v>
      </c>
      <c r="Y24" s="744"/>
      <c r="Z24" s="744"/>
      <c r="AA24" s="744"/>
      <c r="AB24" s="744"/>
      <c r="AC24" s="744"/>
      <c r="AD24" s="744"/>
      <c r="AE24" s="744"/>
      <c r="AF24" s="744"/>
      <c r="AG24" s="625">
        <f t="shared" si="5"/>
        <v>188120</v>
      </c>
      <c r="AH24" s="629"/>
    </row>
    <row r="25" spans="1:34" s="570" customFormat="1" ht="18" customHeight="1">
      <c r="A25" s="637" t="s">
        <v>659</v>
      </c>
      <c r="B25" s="639" t="s">
        <v>660</v>
      </c>
      <c r="C25" s="650"/>
      <c r="D25" s="650"/>
      <c r="E25" s="650"/>
      <c r="F25" s="650"/>
      <c r="G25" s="650">
        <v>15630</v>
      </c>
      <c r="H25" s="650"/>
      <c r="I25" s="650">
        <v>2530</v>
      </c>
      <c r="J25" s="650">
        <v>710</v>
      </c>
      <c r="K25" s="650"/>
      <c r="L25" s="650"/>
      <c r="M25" s="650"/>
      <c r="N25" s="650"/>
      <c r="O25" s="650"/>
      <c r="P25" s="650"/>
      <c r="Q25" s="650"/>
      <c r="R25" s="650"/>
      <c r="S25" s="650"/>
      <c r="T25" s="650"/>
      <c r="U25" s="650"/>
      <c r="V25" s="650"/>
      <c r="W25" s="650"/>
      <c r="X25" s="650">
        <v>1170</v>
      </c>
      <c r="Y25" s="650"/>
      <c r="Z25" s="650"/>
      <c r="AA25" s="650"/>
      <c r="AB25" s="650"/>
      <c r="AC25" s="650"/>
      <c r="AD25" s="650"/>
      <c r="AE25" s="650"/>
      <c r="AF25" s="650"/>
      <c r="AG25" s="625">
        <f t="shared" si="5"/>
        <v>20040</v>
      </c>
      <c r="AH25" s="629"/>
    </row>
    <row r="26" spans="1:34" s="570" customFormat="1" ht="18" customHeight="1" thickBot="1">
      <c r="A26" s="637" t="s">
        <v>661</v>
      </c>
      <c r="B26" s="639" t="s">
        <v>662</v>
      </c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>
        <v>1000</v>
      </c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25">
        <f t="shared" si="5"/>
        <v>1000</v>
      </c>
      <c r="AH26" s="629"/>
    </row>
    <row r="27" spans="1:34" s="570" customFormat="1" ht="19.5" customHeight="1" thickBot="1">
      <c r="A27" s="643">
        <v>80130</v>
      </c>
      <c r="B27" s="631" t="s">
        <v>663</v>
      </c>
      <c r="C27" s="645">
        <f>SUM(C28:C46)</f>
        <v>0</v>
      </c>
      <c r="D27" s="645">
        <f>SUM(D28:D46)</f>
        <v>0</v>
      </c>
      <c r="E27" s="645">
        <f>SUM(E28:E46)</f>
        <v>0</v>
      </c>
      <c r="F27" s="645"/>
      <c r="G27" s="645">
        <f aca="true" t="shared" si="8" ref="G27:O27">SUM(G28:G46)</f>
        <v>-165630</v>
      </c>
      <c r="H27" s="645">
        <f t="shared" si="8"/>
        <v>0</v>
      </c>
      <c r="I27" s="645">
        <f t="shared" si="8"/>
        <v>-27410</v>
      </c>
      <c r="J27" s="645">
        <f t="shared" si="8"/>
        <v>-4250</v>
      </c>
      <c r="K27" s="645">
        <f t="shared" si="8"/>
        <v>0</v>
      </c>
      <c r="L27" s="645">
        <f t="shared" si="8"/>
        <v>0</v>
      </c>
      <c r="M27" s="645">
        <f t="shared" si="8"/>
        <v>2000</v>
      </c>
      <c r="N27" s="645">
        <f t="shared" si="8"/>
        <v>0</v>
      </c>
      <c r="O27" s="645">
        <f t="shared" si="8"/>
        <v>0</v>
      </c>
      <c r="P27" s="645"/>
      <c r="Q27" s="645"/>
      <c r="R27" s="645">
        <f aca="true" t="shared" si="9" ref="R27:X27">SUM(R28:R46)</f>
        <v>0</v>
      </c>
      <c r="S27" s="645">
        <f t="shared" si="9"/>
        <v>0</v>
      </c>
      <c r="T27" s="645">
        <f t="shared" si="9"/>
        <v>88036</v>
      </c>
      <c r="U27" s="645">
        <f t="shared" si="9"/>
        <v>0</v>
      </c>
      <c r="V27" s="645">
        <f t="shared" si="9"/>
        <v>0</v>
      </c>
      <c r="W27" s="645">
        <f t="shared" si="9"/>
        <v>0</v>
      </c>
      <c r="X27" s="645">
        <f t="shared" si="9"/>
        <v>-10870</v>
      </c>
      <c r="Y27" s="645"/>
      <c r="Z27" s="645">
        <f aca="true" t="shared" si="10" ref="Z27:AF27">SUM(Z28:Z46)</f>
        <v>0</v>
      </c>
      <c r="AA27" s="645">
        <f t="shared" si="10"/>
        <v>0</v>
      </c>
      <c r="AB27" s="645">
        <f t="shared" si="10"/>
        <v>0</v>
      </c>
      <c r="AC27" s="645">
        <f t="shared" si="10"/>
        <v>0</v>
      </c>
      <c r="AD27" s="645">
        <f t="shared" si="10"/>
        <v>0</v>
      </c>
      <c r="AE27" s="645">
        <f t="shared" si="10"/>
        <v>0</v>
      </c>
      <c r="AF27" s="645">
        <f t="shared" si="10"/>
        <v>4000</v>
      </c>
      <c r="AG27" s="679">
        <f t="shared" si="5"/>
        <v>-114124</v>
      </c>
      <c r="AH27" s="629"/>
    </row>
    <row r="28" spans="1:34" s="570" customFormat="1" ht="18" customHeight="1">
      <c r="A28" s="652" t="s">
        <v>664</v>
      </c>
      <c r="B28" s="653" t="s">
        <v>665</v>
      </c>
      <c r="C28" s="647"/>
      <c r="D28" s="647"/>
      <c r="E28" s="647"/>
      <c r="F28" s="647"/>
      <c r="G28" s="647"/>
      <c r="H28" s="647"/>
      <c r="I28" s="647"/>
      <c r="J28" s="647"/>
      <c r="K28" s="647"/>
      <c r="L28" s="647"/>
      <c r="M28" s="647"/>
      <c r="N28" s="647"/>
      <c r="O28" s="647"/>
      <c r="P28" s="647"/>
      <c r="Q28" s="647"/>
      <c r="R28" s="647"/>
      <c r="S28" s="647"/>
      <c r="T28" s="647">
        <v>11314</v>
      </c>
      <c r="U28" s="647"/>
      <c r="V28" s="647"/>
      <c r="W28" s="647"/>
      <c r="X28" s="647"/>
      <c r="Y28" s="647"/>
      <c r="Z28" s="647"/>
      <c r="AA28" s="647"/>
      <c r="AB28" s="647"/>
      <c r="AC28" s="647"/>
      <c r="AD28" s="647"/>
      <c r="AE28" s="647"/>
      <c r="AF28" s="647"/>
      <c r="AG28" s="625">
        <f t="shared" si="5"/>
        <v>11314</v>
      </c>
      <c r="AH28" s="629"/>
    </row>
    <row r="29" spans="1:34" s="570" customFormat="1" ht="18" customHeight="1">
      <c r="A29" s="652" t="s">
        <v>666</v>
      </c>
      <c r="B29" s="653" t="s">
        <v>667</v>
      </c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>
        <v>2616</v>
      </c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647"/>
      <c r="AG29" s="625">
        <f t="shared" si="5"/>
        <v>2616</v>
      </c>
      <c r="AH29" s="629"/>
    </row>
    <row r="30" spans="1:34" s="570" customFormat="1" ht="18" customHeight="1">
      <c r="A30" s="652" t="s">
        <v>668</v>
      </c>
      <c r="B30" s="653" t="s">
        <v>669</v>
      </c>
      <c r="C30" s="647"/>
      <c r="D30" s="647"/>
      <c r="E30" s="647"/>
      <c r="F30" s="647"/>
      <c r="G30" s="647"/>
      <c r="H30" s="647"/>
      <c r="I30" s="647"/>
      <c r="J30" s="647"/>
      <c r="K30" s="647"/>
      <c r="L30" s="647"/>
      <c r="M30" s="647"/>
      <c r="N30" s="647"/>
      <c r="O30" s="647"/>
      <c r="P30" s="647"/>
      <c r="Q30" s="647"/>
      <c r="R30" s="647"/>
      <c r="S30" s="647"/>
      <c r="T30" s="647">
        <v>3270</v>
      </c>
      <c r="U30" s="647"/>
      <c r="V30" s="647"/>
      <c r="W30" s="647"/>
      <c r="X30" s="647"/>
      <c r="Y30" s="647"/>
      <c r="Z30" s="647"/>
      <c r="AA30" s="647"/>
      <c r="AB30" s="647"/>
      <c r="AC30" s="647"/>
      <c r="AD30" s="647"/>
      <c r="AE30" s="647"/>
      <c r="AF30" s="647"/>
      <c r="AG30" s="625">
        <f t="shared" si="5"/>
        <v>3270</v>
      </c>
      <c r="AH30" s="629"/>
    </row>
    <row r="31" spans="1:34" s="570" customFormat="1" ht="18" customHeight="1">
      <c r="A31" s="652" t="s">
        <v>670</v>
      </c>
      <c r="B31" s="653" t="s">
        <v>671</v>
      </c>
      <c r="C31" s="647"/>
      <c r="D31" s="647"/>
      <c r="E31" s="647"/>
      <c r="F31" s="647"/>
      <c r="G31" s="647"/>
      <c r="H31" s="647"/>
      <c r="I31" s="647"/>
      <c r="J31" s="647"/>
      <c r="K31" s="647"/>
      <c r="L31" s="647"/>
      <c r="M31" s="647"/>
      <c r="N31" s="647"/>
      <c r="O31" s="647"/>
      <c r="P31" s="647"/>
      <c r="Q31" s="647"/>
      <c r="R31" s="647"/>
      <c r="S31" s="647"/>
      <c r="T31" s="647">
        <v>17003</v>
      </c>
      <c r="U31" s="647"/>
      <c r="V31" s="647"/>
      <c r="W31" s="647"/>
      <c r="X31" s="647"/>
      <c r="Y31" s="647"/>
      <c r="Z31" s="647"/>
      <c r="AA31" s="647"/>
      <c r="AB31" s="647"/>
      <c r="AC31" s="647"/>
      <c r="AD31" s="647"/>
      <c r="AE31" s="647"/>
      <c r="AF31" s="647"/>
      <c r="AG31" s="625">
        <f t="shared" si="5"/>
        <v>17003</v>
      </c>
      <c r="AH31" s="629"/>
    </row>
    <row r="32" spans="1:34" s="570" customFormat="1" ht="18" customHeight="1">
      <c r="A32" s="652" t="s">
        <v>672</v>
      </c>
      <c r="B32" s="653" t="s">
        <v>673</v>
      </c>
      <c r="C32" s="647"/>
      <c r="D32" s="647"/>
      <c r="E32" s="647"/>
      <c r="F32" s="647"/>
      <c r="G32" s="647"/>
      <c r="H32" s="647"/>
      <c r="I32" s="647"/>
      <c r="J32" s="647"/>
      <c r="K32" s="647"/>
      <c r="L32" s="647"/>
      <c r="M32" s="647">
        <v>2000</v>
      </c>
      <c r="N32" s="647"/>
      <c r="O32" s="647"/>
      <c r="P32" s="647"/>
      <c r="Q32" s="647"/>
      <c r="R32" s="647"/>
      <c r="S32" s="647"/>
      <c r="T32" s="647">
        <v>1995</v>
      </c>
      <c r="U32" s="647"/>
      <c r="V32" s="647"/>
      <c r="W32" s="647"/>
      <c r="X32" s="647"/>
      <c r="Y32" s="647"/>
      <c r="Z32" s="647"/>
      <c r="AA32" s="647"/>
      <c r="AB32" s="647"/>
      <c r="AC32" s="647"/>
      <c r="AD32" s="647"/>
      <c r="AE32" s="647"/>
      <c r="AF32" s="647"/>
      <c r="AG32" s="625">
        <f t="shared" si="5"/>
        <v>3995</v>
      </c>
      <c r="AH32" s="629"/>
    </row>
    <row r="33" spans="1:34" s="570" customFormat="1" ht="18" customHeight="1">
      <c r="A33" s="652" t="s">
        <v>674</v>
      </c>
      <c r="B33" s="653" t="s">
        <v>675</v>
      </c>
      <c r="C33" s="647"/>
      <c r="D33" s="647"/>
      <c r="E33" s="647"/>
      <c r="F33" s="647"/>
      <c r="G33" s="647"/>
      <c r="H33" s="647"/>
      <c r="I33" s="647"/>
      <c r="J33" s="647"/>
      <c r="K33" s="647"/>
      <c r="L33" s="647"/>
      <c r="M33" s="647"/>
      <c r="N33" s="647"/>
      <c r="O33" s="647"/>
      <c r="P33" s="647"/>
      <c r="Q33" s="647"/>
      <c r="R33" s="647"/>
      <c r="S33" s="647"/>
      <c r="T33" s="647">
        <v>4578</v>
      </c>
      <c r="U33" s="647"/>
      <c r="V33" s="647"/>
      <c r="W33" s="647"/>
      <c r="X33" s="647"/>
      <c r="Y33" s="647"/>
      <c r="Z33" s="647"/>
      <c r="AA33" s="647"/>
      <c r="AB33" s="647"/>
      <c r="AC33" s="647"/>
      <c r="AD33" s="647"/>
      <c r="AE33" s="647"/>
      <c r="AF33" s="647"/>
      <c r="AG33" s="625">
        <f t="shared" si="5"/>
        <v>4578</v>
      </c>
      <c r="AH33" s="629"/>
    </row>
    <row r="34" spans="1:34" s="636" customFormat="1" ht="18" customHeight="1">
      <c r="A34" s="652" t="s">
        <v>676</v>
      </c>
      <c r="B34" s="653" t="s">
        <v>677</v>
      </c>
      <c r="C34" s="647"/>
      <c r="D34" s="647"/>
      <c r="E34" s="647"/>
      <c r="F34" s="647"/>
      <c r="G34" s="647"/>
      <c r="H34" s="647"/>
      <c r="I34" s="647"/>
      <c r="J34" s="647"/>
      <c r="K34" s="647"/>
      <c r="L34" s="647"/>
      <c r="M34" s="647"/>
      <c r="N34" s="647"/>
      <c r="O34" s="647"/>
      <c r="P34" s="647"/>
      <c r="Q34" s="647"/>
      <c r="R34" s="647"/>
      <c r="S34" s="647"/>
      <c r="T34" s="647">
        <v>4071</v>
      </c>
      <c r="U34" s="647"/>
      <c r="V34" s="647"/>
      <c r="W34" s="647"/>
      <c r="X34" s="647"/>
      <c r="Y34" s="647"/>
      <c r="Z34" s="647"/>
      <c r="AA34" s="647"/>
      <c r="AB34" s="647"/>
      <c r="AC34" s="647"/>
      <c r="AD34" s="647"/>
      <c r="AE34" s="647"/>
      <c r="AF34" s="647"/>
      <c r="AG34" s="625">
        <f t="shared" si="5"/>
        <v>4071</v>
      </c>
      <c r="AH34" s="629"/>
    </row>
    <row r="35" spans="1:34" s="606" customFormat="1" ht="18" customHeight="1">
      <c r="A35" s="652" t="s">
        <v>678</v>
      </c>
      <c r="B35" s="653" t="s">
        <v>679</v>
      </c>
      <c r="C35" s="647"/>
      <c r="D35" s="647"/>
      <c r="E35" s="647"/>
      <c r="F35" s="647"/>
      <c r="G35" s="647">
        <v>-150000</v>
      </c>
      <c r="H35" s="647"/>
      <c r="I35" s="647">
        <v>-24880</v>
      </c>
      <c r="J35" s="647">
        <v>-3540</v>
      </c>
      <c r="K35" s="647"/>
      <c r="L35" s="647"/>
      <c r="M35" s="647"/>
      <c r="N35" s="647"/>
      <c r="O35" s="647"/>
      <c r="P35" s="647"/>
      <c r="Q35" s="647"/>
      <c r="R35" s="647"/>
      <c r="S35" s="647"/>
      <c r="T35" s="647">
        <v>1112</v>
      </c>
      <c r="U35" s="647"/>
      <c r="V35" s="647"/>
      <c r="W35" s="647"/>
      <c r="X35" s="647">
        <v>-9700</v>
      </c>
      <c r="Y35" s="647"/>
      <c r="Z35" s="647"/>
      <c r="AA35" s="647"/>
      <c r="AB35" s="647"/>
      <c r="AC35" s="647"/>
      <c r="AD35" s="647"/>
      <c r="AE35" s="647"/>
      <c r="AF35" s="647"/>
      <c r="AG35" s="625">
        <f t="shared" si="5"/>
        <v>-187008</v>
      </c>
      <c r="AH35" s="629"/>
    </row>
    <row r="36" spans="1:34" s="606" customFormat="1" ht="18" customHeight="1">
      <c r="A36" s="652" t="s">
        <v>680</v>
      </c>
      <c r="B36" s="653" t="s">
        <v>681</v>
      </c>
      <c r="C36" s="647"/>
      <c r="D36" s="647"/>
      <c r="E36" s="647"/>
      <c r="F36" s="647"/>
      <c r="G36" s="647"/>
      <c r="H36" s="647"/>
      <c r="I36" s="647"/>
      <c r="J36" s="647"/>
      <c r="K36" s="647"/>
      <c r="L36" s="647"/>
      <c r="M36" s="647"/>
      <c r="N36" s="647"/>
      <c r="O36" s="647"/>
      <c r="P36" s="647"/>
      <c r="Q36" s="647"/>
      <c r="R36" s="647"/>
      <c r="S36" s="647"/>
      <c r="T36" s="647"/>
      <c r="U36" s="647"/>
      <c r="V36" s="647"/>
      <c r="W36" s="647"/>
      <c r="X36" s="647"/>
      <c r="Y36" s="647"/>
      <c r="Z36" s="647"/>
      <c r="AA36" s="647"/>
      <c r="AB36" s="647"/>
      <c r="AC36" s="647"/>
      <c r="AD36" s="647"/>
      <c r="AE36" s="647"/>
      <c r="AF36" s="647">
        <v>4000</v>
      </c>
      <c r="AG36" s="625">
        <f t="shared" si="5"/>
        <v>4000</v>
      </c>
      <c r="AH36" s="629"/>
    </row>
    <row r="37" spans="1:34" s="606" customFormat="1" ht="18" customHeight="1">
      <c r="A37" s="652" t="s">
        <v>682</v>
      </c>
      <c r="B37" s="653" t="s">
        <v>683</v>
      </c>
      <c r="C37" s="647"/>
      <c r="D37" s="647"/>
      <c r="E37" s="647"/>
      <c r="F37" s="647"/>
      <c r="G37" s="647"/>
      <c r="H37" s="647"/>
      <c r="I37" s="647"/>
      <c r="J37" s="647"/>
      <c r="K37" s="647"/>
      <c r="L37" s="647"/>
      <c r="M37" s="647"/>
      <c r="N37" s="647"/>
      <c r="O37" s="647"/>
      <c r="P37" s="647"/>
      <c r="Q37" s="647"/>
      <c r="R37" s="647"/>
      <c r="S37" s="647"/>
      <c r="T37" s="647">
        <v>4284</v>
      </c>
      <c r="U37" s="647"/>
      <c r="V37" s="647"/>
      <c r="W37" s="647"/>
      <c r="X37" s="647"/>
      <c r="Y37" s="647"/>
      <c r="Z37" s="647"/>
      <c r="AA37" s="647"/>
      <c r="AB37" s="647"/>
      <c r="AC37" s="647"/>
      <c r="AD37" s="647"/>
      <c r="AE37" s="647"/>
      <c r="AF37" s="647"/>
      <c r="AG37" s="625">
        <f t="shared" si="5"/>
        <v>4284</v>
      </c>
      <c r="AH37" s="629"/>
    </row>
    <row r="38" spans="1:34" s="606" customFormat="1" ht="18" customHeight="1">
      <c r="A38" s="652" t="s">
        <v>684</v>
      </c>
      <c r="B38" s="653" t="s">
        <v>685</v>
      </c>
      <c r="C38" s="647"/>
      <c r="D38" s="647"/>
      <c r="E38" s="647"/>
      <c r="F38" s="647"/>
      <c r="G38" s="647"/>
      <c r="H38" s="647"/>
      <c r="I38" s="647"/>
      <c r="J38" s="647"/>
      <c r="K38" s="647"/>
      <c r="L38" s="647"/>
      <c r="M38" s="647"/>
      <c r="N38" s="647"/>
      <c r="O38" s="647"/>
      <c r="P38" s="647"/>
      <c r="Q38" s="647"/>
      <c r="R38" s="647"/>
      <c r="S38" s="647"/>
      <c r="T38" s="647">
        <v>1831</v>
      </c>
      <c r="U38" s="647"/>
      <c r="V38" s="647"/>
      <c r="W38" s="647"/>
      <c r="X38" s="647"/>
      <c r="Y38" s="647"/>
      <c r="Z38" s="647"/>
      <c r="AA38" s="647"/>
      <c r="AB38" s="647"/>
      <c r="AC38" s="647"/>
      <c r="AD38" s="647"/>
      <c r="AE38" s="647"/>
      <c r="AF38" s="647"/>
      <c r="AG38" s="625">
        <f t="shared" si="5"/>
        <v>1831</v>
      </c>
      <c r="AH38" s="629"/>
    </row>
    <row r="39" spans="1:34" s="654" customFormat="1" ht="18" customHeight="1">
      <c r="A39" s="652" t="s">
        <v>686</v>
      </c>
      <c r="B39" s="653" t="s">
        <v>687</v>
      </c>
      <c r="C39" s="647"/>
      <c r="D39" s="647"/>
      <c r="E39" s="647"/>
      <c r="F39" s="647"/>
      <c r="G39" s="647"/>
      <c r="H39" s="647"/>
      <c r="I39" s="647"/>
      <c r="J39" s="647"/>
      <c r="K39" s="647"/>
      <c r="L39" s="647"/>
      <c r="M39" s="647"/>
      <c r="N39" s="647"/>
      <c r="O39" s="647"/>
      <c r="P39" s="647"/>
      <c r="Q39" s="647"/>
      <c r="R39" s="647"/>
      <c r="S39" s="647"/>
      <c r="T39" s="647">
        <v>1668</v>
      </c>
      <c r="U39" s="647"/>
      <c r="V39" s="647"/>
      <c r="W39" s="647"/>
      <c r="X39" s="647"/>
      <c r="Y39" s="647"/>
      <c r="Z39" s="647"/>
      <c r="AA39" s="647"/>
      <c r="AB39" s="647"/>
      <c r="AC39" s="647"/>
      <c r="AD39" s="647"/>
      <c r="AE39" s="647"/>
      <c r="AF39" s="647"/>
      <c r="AG39" s="625">
        <f t="shared" si="5"/>
        <v>1668</v>
      </c>
      <c r="AH39" s="629"/>
    </row>
    <row r="40" spans="1:34" s="654" customFormat="1" ht="18" customHeight="1">
      <c r="A40" s="652" t="s">
        <v>688</v>
      </c>
      <c r="B40" s="653" t="s">
        <v>689</v>
      </c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>
        <v>997</v>
      </c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25">
        <f t="shared" si="5"/>
        <v>997</v>
      </c>
      <c r="AH40" s="629"/>
    </row>
    <row r="41" spans="1:34" s="654" customFormat="1" ht="18" customHeight="1">
      <c r="A41" s="652" t="s">
        <v>690</v>
      </c>
      <c r="B41" s="653" t="s">
        <v>691</v>
      </c>
      <c r="C41" s="647"/>
      <c r="D41" s="647"/>
      <c r="E41" s="647"/>
      <c r="F41" s="647"/>
      <c r="G41" s="647"/>
      <c r="H41" s="647"/>
      <c r="I41" s="647"/>
      <c r="J41" s="647"/>
      <c r="K41" s="647"/>
      <c r="L41" s="647"/>
      <c r="M41" s="647"/>
      <c r="N41" s="647"/>
      <c r="O41" s="647"/>
      <c r="P41" s="647"/>
      <c r="Q41" s="647"/>
      <c r="R41" s="647"/>
      <c r="S41" s="647"/>
      <c r="T41" s="647">
        <v>5281</v>
      </c>
      <c r="U41" s="647"/>
      <c r="V41" s="647"/>
      <c r="W41" s="647"/>
      <c r="X41" s="647"/>
      <c r="Y41" s="647"/>
      <c r="Z41" s="647"/>
      <c r="AA41" s="647"/>
      <c r="AB41" s="647"/>
      <c r="AC41" s="647"/>
      <c r="AD41" s="647"/>
      <c r="AE41" s="647"/>
      <c r="AF41" s="647"/>
      <c r="AG41" s="625">
        <f t="shared" si="5"/>
        <v>5281</v>
      </c>
      <c r="AH41" s="629"/>
    </row>
    <row r="42" spans="1:34" s="570" customFormat="1" ht="18" customHeight="1">
      <c r="A42" s="652" t="s">
        <v>692</v>
      </c>
      <c r="B42" s="653" t="s">
        <v>693</v>
      </c>
      <c r="C42" s="647"/>
      <c r="D42" s="647"/>
      <c r="E42" s="647"/>
      <c r="F42" s="647"/>
      <c r="G42" s="647"/>
      <c r="H42" s="647"/>
      <c r="I42" s="647"/>
      <c r="J42" s="647"/>
      <c r="K42" s="647"/>
      <c r="L42" s="647"/>
      <c r="M42" s="647"/>
      <c r="N42" s="647"/>
      <c r="O42" s="647"/>
      <c r="P42" s="647"/>
      <c r="Q42" s="647"/>
      <c r="R42" s="647"/>
      <c r="S42" s="647"/>
      <c r="T42" s="647">
        <f>3000+1112</f>
        <v>4112</v>
      </c>
      <c r="U42" s="647"/>
      <c r="V42" s="647"/>
      <c r="W42" s="647"/>
      <c r="X42" s="647"/>
      <c r="Y42" s="647"/>
      <c r="Z42" s="647"/>
      <c r="AA42" s="647"/>
      <c r="AB42" s="647"/>
      <c r="AC42" s="647"/>
      <c r="AD42" s="647"/>
      <c r="AE42" s="647"/>
      <c r="AF42" s="647"/>
      <c r="AG42" s="625">
        <f t="shared" si="5"/>
        <v>4112</v>
      </c>
      <c r="AH42" s="629"/>
    </row>
    <row r="43" spans="1:34" s="654" customFormat="1" ht="18" customHeight="1">
      <c r="A43" s="652" t="s">
        <v>694</v>
      </c>
      <c r="B43" s="653" t="s">
        <v>695</v>
      </c>
      <c r="C43" s="647"/>
      <c r="D43" s="647"/>
      <c r="E43" s="647"/>
      <c r="F43" s="647"/>
      <c r="G43" s="647"/>
      <c r="H43" s="647"/>
      <c r="I43" s="647"/>
      <c r="J43" s="647"/>
      <c r="K43" s="647"/>
      <c r="L43" s="647"/>
      <c r="M43" s="647"/>
      <c r="N43" s="647"/>
      <c r="O43" s="647"/>
      <c r="P43" s="647"/>
      <c r="Q43" s="647"/>
      <c r="R43" s="647"/>
      <c r="S43" s="647"/>
      <c r="T43" s="647">
        <v>8993</v>
      </c>
      <c r="U43" s="647"/>
      <c r="V43" s="647"/>
      <c r="W43" s="647"/>
      <c r="X43" s="647"/>
      <c r="Y43" s="647"/>
      <c r="Z43" s="647"/>
      <c r="AA43" s="647"/>
      <c r="AB43" s="647"/>
      <c r="AC43" s="647"/>
      <c r="AD43" s="647"/>
      <c r="AE43" s="647"/>
      <c r="AF43" s="647"/>
      <c r="AG43" s="625">
        <f t="shared" si="5"/>
        <v>8993</v>
      </c>
      <c r="AH43" s="629"/>
    </row>
    <row r="44" spans="1:34" s="654" customFormat="1" ht="18" customHeight="1">
      <c r="A44" s="652" t="s">
        <v>696</v>
      </c>
      <c r="B44" s="653" t="s">
        <v>697</v>
      </c>
      <c r="C44" s="647"/>
      <c r="D44" s="647"/>
      <c r="E44" s="647"/>
      <c r="F44" s="647"/>
      <c r="G44" s="647">
        <v>-15630</v>
      </c>
      <c r="H44" s="647"/>
      <c r="I44" s="647">
        <v>-2530</v>
      </c>
      <c r="J44" s="647">
        <v>-710</v>
      </c>
      <c r="K44" s="647"/>
      <c r="L44" s="647"/>
      <c r="M44" s="647"/>
      <c r="N44" s="647"/>
      <c r="O44" s="647"/>
      <c r="P44" s="647"/>
      <c r="Q44" s="647"/>
      <c r="R44" s="647"/>
      <c r="S44" s="647"/>
      <c r="T44" s="647">
        <v>981</v>
      </c>
      <c r="U44" s="647"/>
      <c r="V44" s="647"/>
      <c r="W44" s="647"/>
      <c r="X44" s="647">
        <v>-1170</v>
      </c>
      <c r="Y44" s="647"/>
      <c r="Z44" s="647"/>
      <c r="AA44" s="647"/>
      <c r="AB44" s="647"/>
      <c r="AC44" s="647"/>
      <c r="AD44" s="647"/>
      <c r="AE44" s="647"/>
      <c r="AF44" s="647"/>
      <c r="AG44" s="625">
        <f t="shared" si="5"/>
        <v>-19059</v>
      </c>
      <c r="AH44" s="629"/>
    </row>
    <row r="45" spans="1:34" s="570" customFormat="1" ht="18" customHeight="1">
      <c r="A45" s="641"/>
      <c r="B45" s="655" t="s">
        <v>147</v>
      </c>
      <c r="C45" s="646"/>
      <c r="D45" s="646"/>
      <c r="E45" s="646"/>
      <c r="F45" s="646"/>
      <c r="G45" s="646"/>
      <c r="H45" s="646"/>
      <c r="I45" s="646"/>
      <c r="J45" s="646"/>
      <c r="K45" s="646"/>
      <c r="L45" s="646"/>
      <c r="M45" s="646"/>
      <c r="N45" s="646"/>
      <c r="O45" s="646"/>
      <c r="P45" s="646"/>
      <c r="Q45" s="646"/>
      <c r="R45" s="646"/>
      <c r="S45" s="646"/>
      <c r="T45" s="646">
        <v>7848</v>
      </c>
      <c r="U45" s="646"/>
      <c r="V45" s="646"/>
      <c r="W45" s="646"/>
      <c r="X45" s="646"/>
      <c r="Y45" s="646"/>
      <c r="Z45" s="646"/>
      <c r="AA45" s="646"/>
      <c r="AB45" s="646"/>
      <c r="AC45" s="646"/>
      <c r="AD45" s="646"/>
      <c r="AE45" s="646"/>
      <c r="AF45" s="646"/>
      <c r="AG45" s="625">
        <f t="shared" si="5"/>
        <v>7848</v>
      </c>
      <c r="AH45" s="629"/>
    </row>
    <row r="46" spans="2:34" s="570" customFormat="1" ht="19.5" customHeight="1" thickBot="1">
      <c r="B46" s="656" t="s">
        <v>699</v>
      </c>
      <c r="C46" s="64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6"/>
      <c r="O46" s="646"/>
      <c r="P46" s="646"/>
      <c r="Q46" s="646"/>
      <c r="R46" s="646"/>
      <c r="S46" s="646"/>
      <c r="T46" s="646">
        <v>6082</v>
      </c>
      <c r="U46" s="646"/>
      <c r="V46" s="646"/>
      <c r="W46" s="646"/>
      <c r="X46" s="646"/>
      <c r="Y46" s="646"/>
      <c r="Z46" s="646"/>
      <c r="AA46" s="646"/>
      <c r="AB46" s="646"/>
      <c r="AC46" s="646"/>
      <c r="AD46" s="646"/>
      <c r="AE46" s="646"/>
      <c r="AF46" s="646"/>
      <c r="AG46" s="625">
        <f t="shared" si="5"/>
        <v>6082</v>
      </c>
      <c r="AH46" s="629"/>
    </row>
    <row r="47" spans="1:34" s="570" customFormat="1" ht="19.5" customHeight="1" thickBot="1">
      <c r="A47" s="643"/>
      <c r="B47" s="631" t="s">
        <v>703</v>
      </c>
      <c r="C47" s="645">
        <f>SUM(C48:C134)</f>
        <v>0</v>
      </c>
      <c r="D47" s="645">
        <f>SUM(D48:D134)</f>
        <v>0</v>
      </c>
      <c r="E47" s="645">
        <f>SUM(E48:E134)</f>
        <v>0</v>
      </c>
      <c r="F47" s="645"/>
      <c r="G47" s="645"/>
      <c r="H47" s="645"/>
      <c r="I47" s="645"/>
      <c r="J47" s="645"/>
      <c r="K47" s="645"/>
      <c r="L47" s="645"/>
      <c r="M47" s="645"/>
      <c r="N47" s="645"/>
      <c r="O47" s="645"/>
      <c r="P47" s="645"/>
      <c r="Q47" s="645"/>
      <c r="R47" s="645"/>
      <c r="S47" s="645"/>
      <c r="T47" s="645"/>
      <c r="U47" s="645">
        <f>SUM(U48:U134)</f>
        <v>0</v>
      </c>
      <c r="V47" s="645">
        <f>SUM(V48:V134)</f>
        <v>0</v>
      </c>
      <c r="W47" s="645">
        <f>SUM(W48:W134)</f>
        <v>0</v>
      </c>
      <c r="X47" s="645">
        <f>SUM(X48:X134)</f>
        <v>355128</v>
      </c>
      <c r="Y47" s="645"/>
      <c r="Z47" s="645"/>
      <c r="AA47" s="645"/>
      <c r="AB47" s="645"/>
      <c r="AC47" s="645"/>
      <c r="AD47" s="645"/>
      <c r="AE47" s="645"/>
      <c r="AF47" s="645"/>
      <c r="AG47" s="679">
        <f t="shared" si="5"/>
        <v>355128</v>
      </c>
      <c r="AH47" s="629"/>
    </row>
    <row r="48" spans="1:34" ht="18" customHeight="1">
      <c r="A48" s="634" t="s">
        <v>704</v>
      </c>
      <c r="B48" s="633" t="s">
        <v>588</v>
      </c>
      <c r="C48" s="635"/>
      <c r="D48" s="635"/>
      <c r="E48" s="635"/>
      <c r="F48" s="635"/>
      <c r="G48" s="635"/>
      <c r="H48" s="635"/>
      <c r="I48" s="635"/>
      <c r="J48" s="635"/>
      <c r="K48" s="635"/>
      <c r="L48" s="635"/>
      <c r="M48" s="635"/>
      <c r="N48" s="635"/>
      <c r="O48" s="635"/>
      <c r="P48" s="635"/>
      <c r="Q48" s="635"/>
      <c r="R48" s="635"/>
      <c r="S48" s="635"/>
      <c r="T48" s="635"/>
      <c r="U48" s="635"/>
      <c r="V48" s="635"/>
      <c r="W48" s="635"/>
      <c r="X48" s="635">
        <v>4557</v>
      </c>
      <c r="Y48" s="635"/>
      <c r="Z48" s="635"/>
      <c r="AA48" s="635"/>
      <c r="AB48" s="635"/>
      <c r="AC48" s="635"/>
      <c r="AD48" s="635"/>
      <c r="AE48" s="635"/>
      <c r="AF48" s="635"/>
      <c r="AG48" s="625">
        <f aca="true" t="shared" si="11" ref="AG48:AG79">SUM(C48:AF48)-R48</f>
        <v>4557</v>
      </c>
      <c r="AH48" s="629"/>
    </row>
    <row r="49" spans="1:34" ht="18" customHeight="1">
      <c r="A49" s="634" t="s">
        <v>705</v>
      </c>
      <c r="B49" s="633" t="s">
        <v>589</v>
      </c>
      <c r="C49" s="635"/>
      <c r="D49" s="635"/>
      <c r="E49" s="635"/>
      <c r="F49" s="635"/>
      <c r="G49" s="635"/>
      <c r="H49" s="635"/>
      <c r="I49" s="635"/>
      <c r="J49" s="635"/>
      <c r="K49" s="635"/>
      <c r="L49" s="635"/>
      <c r="M49" s="635"/>
      <c r="N49" s="635"/>
      <c r="O49" s="635"/>
      <c r="P49" s="635"/>
      <c r="Q49" s="635"/>
      <c r="R49" s="635"/>
      <c r="S49" s="635"/>
      <c r="T49" s="635"/>
      <c r="U49" s="635"/>
      <c r="V49" s="635"/>
      <c r="W49" s="635"/>
      <c r="X49" s="635">
        <v>4410</v>
      </c>
      <c r="Y49" s="635"/>
      <c r="Z49" s="635"/>
      <c r="AA49" s="635"/>
      <c r="AB49" s="635"/>
      <c r="AC49" s="635"/>
      <c r="AD49" s="635"/>
      <c r="AE49" s="635"/>
      <c r="AF49" s="635"/>
      <c r="AG49" s="625">
        <f t="shared" si="11"/>
        <v>4410</v>
      </c>
      <c r="AH49" s="629"/>
    </row>
    <row r="50" spans="1:34" ht="18" customHeight="1">
      <c r="A50" s="634" t="s">
        <v>706</v>
      </c>
      <c r="B50" s="633" t="s">
        <v>590</v>
      </c>
      <c r="C50" s="635"/>
      <c r="D50" s="635"/>
      <c r="E50" s="635"/>
      <c r="F50" s="635"/>
      <c r="G50" s="635"/>
      <c r="H50" s="635"/>
      <c r="I50" s="635"/>
      <c r="J50" s="635"/>
      <c r="K50" s="635"/>
      <c r="L50" s="635"/>
      <c r="M50" s="635"/>
      <c r="N50" s="635"/>
      <c r="O50" s="635"/>
      <c r="P50" s="635"/>
      <c r="Q50" s="635"/>
      <c r="R50" s="635"/>
      <c r="S50" s="635"/>
      <c r="T50" s="635"/>
      <c r="U50" s="635"/>
      <c r="V50" s="635"/>
      <c r="W50" s="635"/>
      <c r="X50" s="635">
        <v>3528</v>
      </c>
      <c r="Y50" s="635"/>
      <c r="Z50" s="635"/>
      <c r="AA50" s="635"/>
      <c r="AB50" s="635"/>
      <c r="AC50" s="635"/>
      <c r="AD50" s="635"/>
      <c r="AE50" s="635"/>
      <c r="AF50" s="635"/>
      <c r="AG50" s="625">
        <f t="shared" si="11"/>
        <v>3528</v>
      </c>
      <c r="AH50" s="629"/>
    </row>
    <row r="51" spans="1:34" ht="18" customHeight="1">
      <c r="A51" s="634" t="s">
        <v>707</v>
      </c>
      <c r="B51" s="633" t="s">
        <v>591</v>
      </c>
      <c r="C51" s="635"/>
      <c r="D51" s="635"/>
      <c r="E51" s="635"/>
      <c r="F51" s="635"/>
      <c r="G51" s="635"/>
      <c r="H51" s="635"/>
      <c r="I51" s="635"/>
      <c r="J51" s="635"/>
      <c r="K51" s="635"/>
      <c r="L51" s="635"/>
      <c r="M51" s="635"/>
      <c r="N51" s="635"/>
      <c r="O51" s="635"/>
      <c r="P51" s="635"/>
      <c r="Q51" s="635"/>
      <c r="R51" s="635"/>
      <c r="S51" s="635"/>
      <c r="T51" s="635"/>
      <c r="U51" s="635"/>
      <c r="V51" s="635"/>
      <c r="W51" s="635"/>
      <c r="X51" s="635">
        <v>4851</v>
      </c>
      <c r="Y51" s="635"/>
      <c r="Z51" s="635"/>
      <c r="AA51" s="635"/>
      <c r="AB51" s="635"/>
      <c r="AC51" s="635"/>
      <c r="AD51" s="635"/>
      <c r="AE51" s="635"/>
      <c r="AF51" s="635"/>
      <c r="AG51" s="625">
        <f t="shared" si="11"/>
        <v>4851</v>
      </c>
      <c r="AH51" s="629"/>
    </row>
    <row r="52" spans="1:34" ht="18" customHeight="1">
      <c r="A52" s="634" t="s">
        <v>708</v>
      </c>
      <c r="B52" s="633" t="s">
        <v>592</v>
      </c>
      <c r="C52" s="635"/>
      <c r="D52" s="635"/>
      <c r="E52" s="635"/>
      <c r="F52" s="635"/>
      <c r="G52" s="635"/>
      <c r="H52" s="635"/>
      <c r="I52" s="635"/>
      <c r="J52" s="635"/>
      <c r="K52" s="635"/>
      <c r="L52" s="635"/>
      <c r="M52" s="635"/>
      <c r="N52" s="635"/>
      <c r="O52" s="635"/>
      <c r="P52" s="635"/>
      <c r="Q52" s="635"/>
      <c r="R52" s="635"/>
      <c r="S52" s="635"/>
      <c r="T52" s="635"/>
      <c r="U52" s="635"/>
      <c r="V52" s="635"/>
      <c r="W52" s="635"/>
      <c r="X52" s="635">
        <v>3381</v>
      </c>
      <c r="Y52" s="635"/>
      <c r="Z52" s="635"/>
      <c r="AA52" s="635"/>
      <c r="AB52" s="635"/>
      <c r="AC52" s="635"/>
      <c r="AD52" s="635"/>
      <c r="AE52" s="635"/>
      <c r="AF52" s="635"/>
      <c r="AG52" s="625">
        <f t="shared" si="11"/>
        <v>3381</v>
      </c>
      <c r="AH52" s="629"/>
    </row>
    <row r="53" spans="1:34" ht="18" customHeight="1">
      <c r="A53" s="634" t="s">
        <v>709</v>
      </c>
      <c r="B53" s="633" t="s">
        <v>593</v>
      </c>
      <c r="C53" s="635"/>
      <c r="D53" s="635"/>
      <c r="E53" s="635"/>
      <c r="F53" s="635"/>
      <c r="G53" s="635"/>
      <c r="H53" s="635"/>
      <c r="I53" s="635"/>
      <c r="J53" s="635"/>
      <c r="K53" s="635"/>
      <c r="L53" s="635"/>
      <c r="M53" s="635"/>
      <c r="N53" s="635"/>
      <c r="O53" s="635"/>
      <c r="P53" s="635"/>
      <c r="Q53" s="635"/>
      <c r="R53" s="635"/>
      <c r="S53" s="635"/>
      <c r="T53" s="635"/>
      <c r="U53" s="635"/>
      <c r="V53" s="635"/>
      <c r="W53" s="635"/>
      <c r="X53" s="635">
        <v>5733</v>
      </c>
      <c r="Y53" s="635"/>
      <c r="Z53" s="635"/>
      <c r="AA53" s="635"/>
      <c r="AB53" s="635"/>
      <c r="AC53" s="635"/>
      <c r="AD53" s="635"/>
      <c r="AE53" s="635"/>
      <c r="AF53" s="635"/>
      <c r="AG53" s="625">
        <f t="shared" si="11"/>
        <v>5733</v>
      </c>
      <c r="AH53" s="629"/>
    </row>
    <row r="54" spans="1:34" ht="18" customHeight="1">
      <c r="A54" s="634" t="s">
        <v>710</v>
      </c>
      <c r="B54" s="633" t="s">
        <v>594</v>
      </c>
      <c r="C54" s="635"/>
      <c r="D54" s="635"/>
      <c r="E54" s="635"/>
      <c r="F54" s="635"/>
      <c r="G54" s="635"/>
      <c r="H54" s="635"/>
      <c r="I54" s="635"/>
      <c r="J54" s="635"/>
      <c r="K54" s="635"/>
      <c r="L54" s="635"/>
      <c r="M54" s="635"/>
      <c r="N54" s="635"/>
      <c r="O54" s="635"/>
      <c r="P54" s="635"/>
      <c r="Q54" s="635"/>
      <c r="R54" s="635"/>
      <c r="S54" s="635"/>
      <c r="T54" s="635"/>
      <c r="U54" s="635"/>
      <c r="V54" s="635"/>
      <c r="W54" s="635"/>
      <c r="X54" s="635">
        <v>4410</v>
      </c>
      <c r="Y54" s="635"/>
      <c r="Z54" s="635"/>
      <c r="AA54" s="635"/>
      <c r="AB54" s="635"/>
      <c r="AC54" s="635"/>
      <c r="AD54" s="635"/>
      <c r="AE54" s="635"/>
      <c r="AF54" s="635"/>
      <c r="AG54" s="625">
        <f t="shared" si="11"/>
        <v>4410</v>
      </c>
      <c r="AH54" s="629"/>
    </row>
    <row r="55" spans="1:34" ht="18" customHeight="1">
      <c r="A55" s="634" t="s">
        <v>711</v>
      </c>
      <c r="B55" s="633" t="s">
        <v>595</v>
      </c>
      <c r="C55" s="635"/>
      <c r="D55" s="635"/>
      <c r="E55" s="635"/>
      <c r="F55" s="635"/>
      <c r="G55" s="635"/>
      <c r="H55" s="635"/>
      <c r="I55" s="635"/>
      <c r="J55" s="635"/>
      <c r="K55" s="635"/>
      <c r="L55" s="635"/>
      <c r="M55" s="635"/>
      <c r="N55" s="635"/>
      <c r="O55" s="635"/>
      <c r="P55" s="635"/>
      <c r="Q55" s="635"/>
      <c r="R55" s="635"/>
      <c r="S55" s="635"/>
      <c r="T55" s="635"/>
      <c r="U55" s="635"/>
      <c r="V55" s="635"/>
      <c r="W55" s="635"/>
      <c r="X55" s="635">
        <v>5292</v>
      </c>
      <c r="Y55" s="635"/>
      <c r="Z55" s="635"/>
      <c r="AA55" s="635"/>
      <c r="AB55" s="635"/>
      <c r="AC55" s="635"/>
      <c r="AD55" s="635"/>
      <c r="AE55" s="635"/>
      <c r="AF55" s="635"/>
      <c r="AG55" s="625">
        <f t="shared" si="11"/>
        <v>5292</v>
      </c>
      <c r="AH55" s="629"/>
    </row>
    <row r="56" spans="1:34" ht="18" customHeight="1">
      <c r="A56" s="634" t="s">
        <v>712</v>
      </c>
      <c r="B56" s="633" t="s">
        <v>596</v>
      </c>
      <c r="C56" s="635"/>
      <c r="D56" s="635"/>
      <c r="E56" s="635"/>
      <c r="F56" s="635"/>
      <c r="G56" s="635"/>
      <c r="H56" s="635"/>
      <c r="I56" s="635"/>
      <c r="J56" s="635"/>
      <c r="K56" s="635"/>
      <c r="L56" s="635"/>
      <c r="M56" s="635"/>
      <c r="N56" s="635"/>
      <c r="O56" s="635"/>
      <c r="P56" s="635"/>
      <c r="Q56" s="635"/>
      <c r="R56" s="635"/>
      <c r="S56" s="635"/>
      <c r="T56" s="635"/>
      <c r="U56" s="635"/>
      <c r="V56" s="635"/>
      <c r="W56" s="635"/>
      <c r="X56" s="635">
        <v>2352</v>
      </c>
      <c r="Y56" s="635"/>
      <c r="Z56" s="635"/>
      <c r="AA56" s="635"/>
      <c r="AB56" s="635"/>
      <c r="AC56" s="635"/>
      <c r="AD56" s="635"/>
      <c r="AE56" s="635"/>
      <c r="AF56" s="635"/>
      <c r="AG56" s="625">
        <f t="shared" si="11"/>
        <v>2352</v>
      </c>
      <c r="AH56" s="629"/>
    </row>
    <row r="57" spans="1:34" ht="18" customHeight="1">
      <c r="A57" s="634" t="s">
        <v>713</v>
      </c>
      <c r="B57" s="633" t="s">
        <v>597</v>
      </c>
      <c r="C57" s="635"/>
      <c r="D57" s="635"/>
      <c r="E57" s="635"/>
      <c r="F57" s="635"/>
      <c r="G57" s="635"/>
      <c r="H57" s="635"/>
      <c r="I57" s="635"/>
      <c r="J57" s="635"/>
      <c r="K57" s="635"/>
      <c r="L57" s="635"/>
      <c r="M57" s="635"/>
      <c r="N57" s="635"/>
      <c r="O57" s="635"/>
      <c r="P57" s="635"/>
      <c r="Q57" s="635"/>
      <c r="R57" s="635"/>
      <c r="S57" s="635"/>
      <c r="T57" s="635"/>
      <c r="U57" s="635"/>
      <c r="V57" s="635"/>
      <c r="W57" s="635"/>
      <c r="X57" s="635">
        <v>5586</v>
      </c>
      <c r="Y57" s="635"/>
      <c r="Z57" s="635"/>
      <c r="AA57" s="635"/>
      <c r="AB57" s="635"/>
      <c r="AC57" s="635"/>
      <c r="AD57" s="635"/>
      <c r="AE57" s="635"/>
      <c r="AF57" s="635"/>
      <c r="AG57" s="625">
        <f t="shared" si="11"/>
        <v>5586</v>
      </c>
      <c r="AH57" s="629"/>
    </row>
    <row r="58" spans="1:34" ht="18" customHeight="1">
      <c r="A58" s="634" t="s">
        <v>714</v>
      </c>
      <c r="B58" s="633" t="s">
        <v>598</v>
      </c>
      <c r="C58" s="635"/>
      <c r="D58" s="635"/>
      <c r="E58" s="635"/>
      <c r="F58" s="635"/>
      <c r="G58" s="635"/>
      <c r="H58" s="635"/>
      <c r="I58" s="635"/>
      <c r="J58" s="635"/>
      <c r="K58" s="635"/>
      <c r="L58" s="635"/>
      <c r="M58" s="635"/>
      <c r="N58" s="635"/>
      <c r="O58" s="635"/>
      <c r="P58" s="635"/>
      <c r="Q58" s="635"/>
      <c r="R58" s="635"/>
      <c r="S58" s="635"/>
      <c r="T58" s="635"/>
      <c r="U58" s="635"/>
      <c r="V58" s="635"/>
      <c r="W58" s="635"/>
      <c r="X58" s="635">
        <v>3234</v>
      </c>
      <c r="Y58" s="635"/>
      <c r="Z58" s="635"/>
      <c r="AA58" s="635"/>
      <c r="AB58" s="635"/>
      <c r="AC58" s="635"/>
      <c r="AD58" s="635"/>
      <c r="AE58" s="635"/>
      <c r="AF58" s="635"/>
      <c r="AG58" s="625">
        <f t="shared" si="11"/>
        <v>3234</v>
      </c>
      <c r="AH58" s="629"/>
    </row>
    <row r="59" spans="1:34" ht="18" customHeight="1">
      <c r="A59" s="634" t="s">
        <v>715</v>
      </c>
      <c r="B59" s="633" t="s">
        <v>599</v>
      </c>
      <c r="C59" s="635"/>
      <c r="D59" s="635"/>
      <c r="E59" s="635"/>
      <c r="F59" s="635"/>
      <c r="G59" s="635"/>
      <c r="H59" s="635"/>
      <c r="I59" s="635"/>
      <c r="J59" s="635"/>
      <c r="K59" s="635"/>
      <c r="L59" s="635"/>
      <c r="M59" s="635"/>
      <c r="N59" s="635"/>
      <c r="O59" s="635"/>
      <c r="P59" s="635"/>
      <c r="Q59" s="635"/>
      <c r="R59" s="635"/>
      <c r="S59" s="635"/>
      <c r="T59" s="635"/>
      <c r="U59" s="635"/>
      <c r="V59" s="635"/>
      <c r="W59" s="635"/>
      <c r="X59" s="635">
        <v>2499</v>
      </c>
      <c r="Y59" s="635"/>
      <c r="Z59" s="635"/>
      <c r="AA59" s="635"/>
      <c r="AB59" s="635"/>
      <c r="AC59" s="635"/>
      <c r="AD59" s="635"/>
      <c r="AE59" s="635"/>
      <c r="AF59" s="635"/>
      <c r="AG59" s="625">
        <f t="shared" si="11"/>
        <v>2499</v>
      </c>
      <c r="AH59" s="629"/>
    </row>
    <row r="60" spans="1:34" ht="18" customHeight="1">
      <c r="A60" s="634" t="s">
        <v>716</v>
      </c>
      <c r="B60" s="633" t="s">
        <v>600</v>
      </c>
      <c r="C60" s="635"/>
      <c r="D60" s="635"/>
      <c r="E60" s="635"/>
      <c r="F60" s="635"/>
      <c r="G60" s="635"/>
      <c r="H60" s="635"/>
      <c r="I60" s="635"/>
      <c r="J60" s="635"/>
      <c r="K60" s="635"/>
      <c r="L60" s="635"/>
      <c r="M60" s="635"/>
      <c r="N60" s="635"/>
      <c r="O60" s="635"/>
      <c r="P60" s="635"/>
      <c r="Q60" s="635"/>
      <c r="R60" s="635"/>
      <c r="S60" s="635"/>
      <c r="T60" s="635"/>
      <c r="U60" s="635"/>
      <c r="V60" s="635"/>
      <c r="W60" s="635"/>
      <c r="X60" s="635">
        <v>6027</v>
      </c>
      <c r="Y60" s="635"/>
      <c r="Z60" s="635"/>
      <c r="AA60" s="635"/>
      <c r="AB60" s="635"/>
      <c r="AC60" s="635"/>
      <c r="AD60" s="635"/>
      <c r="AE60" s="635"/>
      <c r="AF60" s="635"/>
      <c r="AG60" s="625">
        <f t="shared" si="11"/>
        <v>6027</v>
      </c>
      <c r="AH60" s="629"/>
    </row>
    <row r="61" spans="1:34" ht="18" customHeight="1">
      <c r="A61" s="634" t="s">
        <v>717</v>
      </c>
      <c r="B61" s="633" t="s">
        <v>601</v>
      </c>
      <c r="C61" s="635"/>
      <c r="D61" s="635"/>
      <c r="E61" s="635"/>
      <c r="F61" s="635"/>
      <c r="G61" s="635"/>
      <c r="H61" s="635"/>
      <c r="I61" s="635"/>
      <c r="J61" s="635"/>
      <c r="K61" s="635"/>
      <c r="L61" s="635"/>
      <c r="M61" s="635"/>
      <c r="N61" s="635"/>
      <c r="O61" s="635"/>
      <c r="P61" s="635"/>
      <c r="Q61" s="635"/>
      <c r="R61" s="635"/>
      <c r="S61" s="635"/>
      <c r="T61" s="635"/>
      <c r="U61" s="635"/>
      <c r="V61" s="635"/>
      <c r="W61" s="635"/>
      <c r="X61" s="635">
        <v>4851</v>
      </c>
      <c r="Y61" s="635"/>
      <c r="Z61" s="635"/>
      <c r="AA61" s="635"/>
      <c r="AB61" s="635"/>
      <c r="AC61" s="635"/>
      <c r="AD61" s="635"/>
      <c r="AE61" s="635"/>
      <c r="AF61" s="635"/>
      <c r="AG61" s="625">
        <f t="shared" si="11"/>
        <v>4851</v>
      </c>
      <c r="AH61" s="629"/>
    </row>
    <row r="62" spans="1:34" ht="18" customHeight="1">
      <c r="A62" s="634" t="s">
        <v>718</v>
      </c>
      <c r="B62" s="633" t="s">
        <v>602</v>
      </c>
      <c r="C62" s="635"/>
      <c r="D62" s="635"/>
      <c r="E62" s="635"/>
      <c r="F62" s="635"/>
      <c r="G62" s="635"/>
      <c r="H62" s="635"/>
      <c r="I62" s="635"/>
      <c r="J62" s="635"/>
      <c r="K62" s="635"/>
      <c r="L62" s="635"/>
      <c r="M62" s="635"/>
      <c r="N62" s="635"/>
      <c r="O62" s="635"/>
      <c r="P62" s="635"/>
      <c r="Q62" s="635"/>
      <c r="R62" s="635"/>
      <c r="S62" s="635"/>
      <c r="T62" s="635"/>
      <c r="U62" s="635"/>
      <c r="V62" s="635"/>
      <c r="W62" s="635"/>
      <c r="X62" s="635">
        <v>2499</v>
      </c>
      <c r="Y62" s="635"/>
      <c r="Z62" s="635"/>
      <c r="AA62" s="635"/>
      <c r="AB62" s="635"/>
      <c r="AC62" s="635"/>
      <c r="AD62" s="635"/>
      <c r="AE62" s="635"/>
      <c r="AF62" s="635"/>
      <c r="AG62" s="625">
        <f t="shared" si="11"/>
        <v>2499</v>
      </c>
      <c r="AH62" s="629"/>
    </row>
    <row r="63" spans="1:34" ht="18" customHeight="1">
      <c r="A63" s="634" t="s">
        <v>719</v>
      </c>
      <c r="B63" s="633" t="s">
        <v>603</v>
      </c>
      <c r="C63" s="635"/>
      <c r="D63" s="635"/>
      <c r="E63" s="635"/>
      <c r="F63" s="635"/>
      <c r="G63" s="635"/>
      <c r="H63" s="635"/>
      <c r="I63" s="635"/>
      <c r="J63" s="635"/>
      <c r="K63" s="635"/>
      <c r="L63" s="635"/>
      <c r="M63" s="635"/>
      <c r="N63" s="635"/>
      <c r="O63" s="635"/>
      <c r="P63" s="635"/>
      <c r="Q63" s="635"/>
      <c r="R63" s="635"/>
      <c r="S63" s="635"/>
      <c r="T63" s="635"/>
      <c r="U63" s="635"/>
      <c r="V63" s="635"/>
      <c r="W63" s="635"/>
      <c r="X63" s="635">
        <v>5439</v>
      </c>
      <c r="Y63" s="635"/>
      <c r="Z63" s="635"/>
      <c r="AA63" s="635"/>
      <c r="AB63" s="635"/>
      <c r="AC63" s="635"/>
      <c r="AD63" s="635"/>
      <c r="AE63" s="635"/>
      <c r="AF63" s="635"/>
      <c r="AG63" s="625">
        <f t="shared" si="11"/>
        <v>5439</v>
      </c>
      <c r="AH63" s="629"/>
    </row>
    <row r="64" spans="1:34" ht="18" customHeight="1">
      <c r="A64" s="634" t="s">
        <v>720</v>
      </c>
      <c r="B64" s="633" t="s">
        <v>604</v>
      </c>
      <c r="C64" s="635"/>
      <c r="D64" s="635"/>
      <c r="E64" s="635"/>
      <c r="F64" s="635"/>
      <c r="G64" s="635"/>
      <c r="H64" s="635"/>
      <c r="I64" s="635"/>
      <c r="J64" s="635"/>
      <c r="K64" s="635"/>
      <c r="L64" s="635"/>
      <c r="M64" s="635"/>
      <c r="N64" s="635"/>
      <c r="O64" s="635"/>
      <c r="P64" s="635"/>
      <c r="Q64" s="635"/>
      <c r="R64" s="635"/>
      <c r="S64" s="635"/>
      <c r="T64" s="635"/>
      <c r="U64" s="635"/>
      <c r="V64" s="635"/>
      <c r="W64" s="635"/>
      <c r="X64" s="635">
        <v>1470</v>
      </c>
      <c r="Y64" s="635"/>
      <c r="Z64" s="635"/>
      <c r="AA64" s="635"/>
      <c r="AB64" s="635"/>
      <c r="AC64" s="635"/>
      <c r="AD64" s="635"/>
      <c r="AE64" s="635"/>
      <c r="AF64" s="635"/>
      <c r="AG64" s="625">
        <f t="shared" si="11"/>
        <v>1470</v>
      </c>
      <c r="AH64" s="629"/>
    </row>
    <row r="65" spans="1:34" ht="18" customHeight="1">
      <c r="A65" s="634" t="s">
        <v>721</v>
      </c>
      <c r="B65" s="633" t="s">
        <v>605</v>
      </c>
      <c r="C65" s="635"/>
      <c r="D65" s="635"/>
      <c r="E65" s="635"/>
      <c r="F65" s="635"/>
      <c r="G65" s="635"/>
      <c r="H65" s="635"/>
      <c r="I65" s="635"/>
      <c r="J65" s="635"/>
      <c r="K65" s="635"/>
      <c r="L65" s="635"/>
      <c r="M65" s="635"/>
      <c r="N65" s="635"/>
      <c r="O65" s="635"/>
      <c r="P65" s="635"/>
      <c r="Q65" s="635"/>
      <c r="R65" s="635"/>
      <c r="S65" s="635"/>
      <c r="T65" s="635"/>
      <c r="U65" s="635"/>
      <c r="V65" s="635"/>
      <c r="W65" s="635"/>
      <c r="X65" s="635">
        <v>4557</v>
      </c>
      <c r="Y65" s="635"/>
      <c r="Z65" s="635"/>
      <c r="AA65" s="635"/>
      <c r="AB65" s="635"/>
      <c r="AC65" s="635"/>
      <c r="AD65" s="635"/>
      <c r="AE65" s="635"/>
      <c r="AF65" s="635"/>
      <c r="AG65" s="625">
        <f t="shared" si="11"/>
        <v>4557</v>
      </c>
      <c r="AH65" s="629"/>
    </row>
    <row r="66" spans="1:34" ht="18" customHeight="1">
      <c r="A66" s="634" t="s">
        <v>722</v>
      </c>
      <c r="B66" s="633" t="s">
        <v>606</v>
      </c>
      <c r="C66" s="635"/>
      <c r="D66" s="635"/>
      <c r="E66" s="635"/>
      <c r="F66" s="635"/>
      <c r="G66" s="635"/>
      <c r="H66" s="635"/>
      <c r="I66" s="635"/>
      <c r="J66" s="635"/>
      <c r="K66" s="635"/>
      <c r="L66" s="635"/>
      <c r="M66" s="635"/>
      <c r="N66" s="635"/>
      <c r="O66" s="635"/>
      <c r="P66" s="635"/>
      <c r="Q66" s="635"/>
      <c r="R66" s="635"/>
      <c r="S66" s="635"/>
      <c r="T66" s="635"/>
      <c r="U66" s="635"/>
      <c r="V66" s="635"/>
      <c r="W66" s="635"/>
      <c r="X66" s="635">
        <v>2793</v>
      </c>
      <c r="Y66" s="635"/>
      <c r="Z66" s="635"/>
      <c r="AA66" s="635"/>
      <c r="AB66" s="635"/>
      <c r="AC66" s="635"/>
      <c r="AD66" s="635"/>
      <c r="AE66" s="635"/>
      <c r="AF66" s="635"/>
      <c r="AG66" s="625">
        <f t="shared" si="11"/>
        <v>2793</v>
      </c>
      <c r="AH66" s="629"/>
    </row>
    <row r="67" spans="1:34" ht="18" customHeight="1">
      <c r="A67" s="634" t="s">
        <v>723</v>
      </c>
      <c r="B67" s="633" t="s">
        <v>607</v>
      </c>
      <c r="C67" s="635"/>
      <c r="D67" s="635"/>
      <c r="E67" s="635"/>
      <c r="F67" s="635"/>
      <c r="G67" s="635"/>
      <c r="H67" s="635"/>
      <c r="I67" s="635"/>
      <c r="J67" s="635"/>
      <c r="K67" s="635"/>
      <c r="L67" s="635"/>
      <c r="M67" s="635"/>
      <c r="N67" s="635"/>
      <c r="O67" s="635"/>
      <c r="P67" s="635"/>
      <c r="Q67" s="635"/>
      <c r="R67" s="635"/>
      <c r="S67" s="635"/>
      <c r="T67" s="635"/>
      <c r="U67" s="635"/>
      <c r="V67" s="635"/>
      <c r="W67" s="635"/>
      <c r="X67" s="635">
        <v>4116</v>
      </c>
      <c r="Y67" s="635"/>
      <c r="Z67" s="635"/>
      <c r="AA67" s="635"/>
      <c r="AB67" s="635"/>
      <c r="AC67" s="635"/>
      <c r="AD67" s="635"/>
      <c r="AE67" s="635"/>
      <c r="AF67" s="635"/>
      <c r="AG67" s="625">
        <f t="shared" si="11"/>
        <v>4116</v>
      </c>
      <c r="AH67" s="629"/>
    </row>
    <row r="68" spans="1:34" ht="18" customHeight="1">
      <c r="A68" s="634" t="s">
        <v>724</v>
      </c>
      <c r="B68" s="633" t="s">
        <v>608</v>
      </c>
      <c r="C68" s="635"/>
      <c r="D68" s="635"/>
      <c r="E68" s="635"/>
      <c r="F68" s="635"/>
      <c r="G68" s="635"/>
      <c r="H68" s="635"/>
      <c r="I68" s="635"/>
      <c r="J68" s="635"/>
      <c r="K68" s="635"/>
      <c r="L68" s="635"/>
      <c r="M68" s="635"/>
      <c r="N68" s="635"/>
      <c r="O68" s="635"/>
      <c r="P68" s="635"/>
      <c r="Q68" s="635"/>
      <c r="R68" s="635"/>
      <c r="S68" s="635"/>
      <c r="T68" s="635"/>
      <c r="U68" s="635"/>
      <c r="V68" s="635"/>
      <c r="W68" s="635"/>
      <c r="X68" s="635">
        <v>4116</v>
      </c>
      <c r="Y68" s="635"/>
      <c r="Z68" s="635"/>
      <c r="AA68" s="635"/>
      <c r="AB68" s="635"/>
      <c r="AC68" s="635"/>
      <c r="AD68" s="635"/>
      <c r="AE68" s="635"/>
      <c r="AF68" s="635"/>
      <c r="AG68" s="625">
        <f t="shared" si="11"/>
        <v>4116</v>
      </c>
      <c r="AH68" s="629"/>
    </row>
    <row r="69" spans="1:34" ht="18" customHeight="1">
      <c r="A69" s="634" t="s">
        <v>725</v>
      </c>
      <c r="B69" s="633" t="s">
        <v>609</v>
      </c>
      <c r="C69" s="635"/>
      <c r="D69" s="635"/>
      <c r="E69" s="635"/>
      <c r="F69" s="635"/>
      <c r="G69" s="635"/>
      <c r="H69" s="635"/>
      <c r="I69" s="635"/>
      <c r="J69" s="635"/>
      <c r="K69" s="635"/>
      <c r="L69" s="635"/>
      <c r="M69" s="635"/>
      <c r="N69" s="635"/>
      <c r="O69" s="635"/>
      <c r="P69" s="635"/>
      <c r="Q69" s="635"/>
      <c r="R69" s="635"/>
      <c r="S69" s="635"/>
      <c r="T69" s="635"/>
      <c r="U69" s="635"/>
      <c r="V69" s="635"/>
      <c r="W69" s="635"/>
      <c r="X69" s="635">
        <v>3822</v>
      </c>
      <c r="Y69" s="635"/>
      <c r="Z69" s="635"/>
      <c r="AA69" s="635"/>
      <c r="AB69" s="635"/>
      <c r="AC69" s="635"/>
      <c r="AD69" s="635"/>
      <c r="AE69" s="635"/>
      <c r="AF69" s="635"/>
      <c r="AG69" s="625">
        <f t="shared" si="11"/>
        <v>3822</v>
      </c>
      <c r="AH69" s="629"/>
    </row>
    <row r="70" spans="1:34" ht="18" customHeight="1">
      <c r="A70" s="634" t="s">
        <v>726</v>
      </c>
      <c r="B70" s="633" t="s">
        <v>610</v>
      </c>
      <c r="C70" s="635"/>
      <c r="D70" s="635"/>
      <c r="E70" s="635"/>
      <c r="F70" s="635"/>
      <c r="G70" s="635"/>
      <c r="H70" s="635"/>
      <c r="I70" s="635"/>
      <c r="J70" s="635"/>
      <c r="K70" s="635"/>
      <c r="L70" s="635"/>
      <c r="M70" s="635"/>
      <c r="N70" s="635"/>
      <c r="O70" s="635"/>
      <c r="P70" s="635"/>
      <c r="Q70" s="635"/>
      <c r="R70" s="635"/>
      <c r="S70" s="635"/>
      <c r="T70" s="635"/>
      <c r="U70" s="635"/>
      <c r="V70" s="635"/>
      <c r="W70" s="635"/>
      <c r="X70" s="635">
        <v>2352</v>
      </c>
      <c r="Y70" s="635"/>
      <c r="Z70" s="635"/>
      <c r="AA70" s="635"/>
      <c r="AB70" s="635"/>
      <c r="AC70" s="635"/>
      <c r="AD70" s="635"/>
      <c r="AE70" s="635"/>
      <c r="AF70" s="635"/>
      <c r="AG70" s="625">
        <f t="shared" si="11"/>
        <v>2352</v>
      </c>
      <c r="AH70" s="629"/>
    </row>
    <row r="71" spans="1:34" ht="18" customHeight="1">
      <c r="A71" s="634" t="s">
        <v>727</v>
      </c>
      <c r="B71" s="633" t="s">
        <v>611</v>
      </c>
      <c r="C71" s="635"/>
      <c r="D71" s="635"/>
      <c r="E71" s="635"/>
      <c r="F71" s="635"/>
      <c r="G71" s="635"/>
      <c r="H71" s="635"/>
      <c r="I71" s="635"/>
      <c r="J71" s="635"/>
      <c r="K71" s="635"/>
      <c r="L71" s="635"/>
      <c r="M71" s="635"/>
      <c r="N71" s="635"/>
      <c r="O71" s="635"/>
      <c r="P71" s="635"/>
      <c r="Q71" s="635"/>
      <c r="R71" s="635"/>
      <c r="S71" s="635"/>
      <c r="T71" s="635"/>
      <c r="U71" s="635"/>
      <c r="V71" s="635"/>
      <c r="W71" s="635"/>
      <c r="X71" s="635">
        <v>3528</v>
      </c>
      <c r="Y71" s="635"/>
      <c r="Z71" s="635"/>
      <c r="AA71" s="635"/>
      <c r="AB71" s="635"/>
      <c r="AC71" s="635"/>
      <c r="AD71" s="635"/>
      <c r="AE71" s="635"/>
      <c r="AF71" s="635"/>
      <c r="AG71" s="625">
        <f t="shared" si="11"/>
        <v>3528</v>
      </c>
      <c r="AH71" s="629"/>
    </row>
    <row r="72" spans="1:34" ht="18" customHeight="1">
      <c r="A72" s="634" t="s">
        <v>728</v>
      </c>
      <c r="B72" s="633" t="s">
        <v>612</v>
      </c>
      <c r="C72" s="635"/>
      <c r="D72" s="635"/>
      <c r="E72" s="635"/>
      <c r="F72" s="635"/>
      <c r="G72" s="635"/>
      <c r="H72" s="635"/>
      <c r="I72" s="635"/>
      <c r="J72" s="635"/>
      <c r="K72" s="635"/>
      <c r="L72" s="635"/>
      <c r="M72" s="635"/>
      <c r="N72" s="635"/>
      <c r="O72" s="635"/>
      <c r="P72" s="635"/>
      <c r="Q72" s="635"/>
      <c r="R72" s="635"/>
      <c r="S72" s="635"/>
      <c r="T72" s="635"/>
      <c r="U72" s="635"/>
      <c r="V72" s="635"/>
      <c r="W72" s="635"/>
      <c r="X72" s="635">
        <v>6174</v>
      </c>
      <c r="Y72" s="635"/>
      <c r="Z72" s="635"/>
      <c r="AA72" s="635"/>
      <c r="AB72" s="635"/>
      <c r="AC72" s="635"/>
      <c r="AD72" s="635"/>
      <c r="AE72" s="635"/>
      <c r="AF72" s="635"/>
      <c r="AG72" s="625">
        <f t="shared" si="11"/>
        <v>6174</v>
      </c>
      <c r="AH72" s="629"/>
    </row>
    <row r="73" spans="1:34" ht="18" customHeight="1">
      <c r="A73" s="634" t="s">
        <v>729</v>
      </c>
      <c r="B73" s="633" t="s">
        <v>613</v>
      </c>
      <c r="C73" s="635"/>
      <c r="D73" s="635"/>
      <c r="E73" s="635"/>
      <c r="F73" s="635"/>
      <c r="G73" s="635"/>
      <c r="H73" s="635"/>
      <c r="I73" s="635"/>
      <c r="J73" s="635"/>
      <c r="K73" s="635"/>
      <c r="L73" s="635"/>
      <c r="M73" s="635"/>
      <c r="N73" s="635"/>
      <c r="O73" s="635"/>
      <c r="P73" s="635"/>
      <c r="Q73" s="635"/>
      <c r="R73" s="635"/>
      <c r="S73" s="635"/>
      <c r="T73" s="635"/>
      <c r="U73" s="635"/>
      <c r="V73" s="635"/>
      <c r="W73" s="635"/>
      <c r="X73" s="635">
        <v>6610</v>
      </c>
      <c r="Y73" s="635"/>
      <c r="Z73" s="635"/>
      <c r="AA73" s="635"/>
      <c r="AB73" s="635"/>
      <c r="AC73" s="635"/>
      <c r="AD73" s="635"/>
      <c r="AE73" s="635"/>
      <c r="AF73" s="635"/>
      <c r="AG73" s="625">
        <f t="shared" si="11"/>
        <v>6610</v>
      </c>
      <c r="AH73" s="629"/>
    </row>
    <row r="74" spans="1:34" ht="18" customHeight="1">
      <c r="A74" s="634" t="s">
        <v>730</v>
      </c>
      <c r="B74" s="633" t="s">
        <v>614</v>
      </c>
      <c r="C74" s="635"/>
      <c r="D74" s="635"/>
      <c r="E74" s="635"/>
      <c r="F74" s="635"/>
      <c r="G74" s="635"/>
      <c r="H74" s="635"/>
      <c r="I74" s="635"/>
      <c r="J74" s="635"/>
      <c r="K74" s="635"/>
      <c r="L74" s="635"/>
      <c r="M74" s="635"/>
      <c r="N74" s="635"/>
      <c r="O74" s="635"/>
      <c r="P74" s="635"/>
      <c r="Q74" s="635"/>
      <c r="R74" s="635"/>
      <c r="S74" s="635"/>
      <c r="T74" s="635"/>
      <c r="U74" s="635"/>
      <c r="V74" s="635"/>
      <c r="W74" s="635"/>
      <c r="X74" s="635">
        <v>3087</v>
      </c>
      <c r="Y74" s="635"/>
      <c r="Z74" s="635"/>
      <c r="AA74" s="635"/>
      <c r="AB74" s="635"/>
      <c r="AC74" s="635"/>
      <c r="AD74" s="635"/>
      <c r="AE74" s="635"/>
      <c r="AF74" s="635"/>
      <c r="AG74" s="625">
        <f t="shared" si="11"/>
        <v>3087</v>
      </c>
      <c r="AH74" s="629"/>
    </row>
    <row r="75" spans="1:34" ht="18" customHeight="1">
      <c r="A75" s="634" t="s">
        <v>731</v>
      </c>
      <c r="B75" s="633" t="s">
        <v>615</v>
      </c>
      <c r="C75" s="635"/>
      <c r="D75" s="635"/>
      <c r="E75" s="635"/>
      <c r="F75" s="635"/>
      <c r="G75" s="635"/>
      <c r="H75" s="635"/>
      <c r="I75" s="635"/>
      <c r="J75" s="635"/>
      <c r="K75" s="635"/>
      <c r="L75" s="635"/>
      <c r="M75" s="635"/>
      <c r="N75" s="635"/>
      <c r="O75" s="635"/>
      <c r="P75" s="635"/>
      <c r="Q75" s="635"/>
      <c r="R75" s="635"/>
      <c r="S75" s="635"/>
      <c r="T75" s="635"/>
      <c r="U75" s="635"/>
      <c r="V75" s="635"/>
      <c r="W75" s="635"/>
      <c r="X75" s="635">
        <v>3087</v>
      </c>
      <c r="Y75" s="635"/>
      <c r="Z75" s="635"/>
      <c r="AA75" s="635"/>
      <c r="AB75" s="635"/>
      <c r="AC75" s="635"/>
      <c r="AD75" s="635"/>
      <c r="AE75" s="635"/>
      <c r="AF75" s="635"/>
      <c r="AG75" s="625">
        <f t="shared" si="11"/>
        <v>3087</v>
      </c>
      <c r="AH75" s="629"/>
    </row>
    <row r="76" spans="1:34" ht="18" customHeight="1">
      <c r="A76" s="634" t="s">
        <v>732</v>
      </c>
      <c r="B76" s="633" t="s">
        <v>616</v>
      </c>
      <c r="C76" s="635"/>
      <c r="D76" s="635"/>
      <c r="E76" s="635"/>
      <c r="F76" s="635"/>
      <c r="G76" s="635"/>
      <c r="H76" s="635"/>
      <c r="I76" s="635"/>
      <c r="J76" s="635"/>
      <c r="K76" s="635"/>
      <c r="L76" s="635"/>
      <c r="M76" s="635"/>
      <c r="N76" s="635"/>
      <c r="O76" s="635"/>
      <c r="P76" s="635"/>
      <c r="Q76" s="635"/>
      <c r="R76" s="635"/>
      <c r="S76" s="635"/>
      <c r="T76" s="635"/>
      <c r="U76" s="635"/>
      <c r="V76" s="635"/>
      <c r="W76" s="635"/>
      <c r="X76" s="635">
        <v>4410</v>
      </c>
      <c r="Y76" s="635"/>
      <c r="Z76" s="635"/>
      <c r="AA76" s="635"/>
      <c r="AB76" s="635"/>
      <c r="AC76" s="635"/>
      <c r="AD76" s="635"/>
      <c r="AE76" s="635"/>
      <c r="AF76" s="635"/>
      <c r="AG76" s="625">
        <f t="shared" si="11"/>
        <v>4410</v>
      </c>
      <c r="AH76" s="629"/>
    </row>
    <row r="77" spans="1:34" ht="18" customHeight="1">
      <c r="A77" s="634" t="s">
        <v>733</v>
      </c>
      <c r="B77" s="633" t="s">
        <v>617</v>
      </c>
      <c r="C77" s="635"/>
      <c r="D77" s="635"/>
      <c r="E77" s="635"/>
      <c r="F77" s="635"/>
      <c r="G77" s="635"/>
      <c r="H77" s="635"/>
      <c r="I77" s="635"/>
      <c r="J77" s="635"/>
      <c r="K77" s="635"/>
      <c r="L77" s="635"/>
      <c r="M77" s="635"/>
      <c r="N77" s="635"/>
      <c r="O77" s="635"/>
      <c r="P77" s="635"/>
      <c r="Q77" s="635"/>
      <c r="R77" s="635"/>
      <c r="S77" s="635"/>
      <c r="T77" s="635"/>
      <c r="U77" s="635"/>
      <c r="V77" s="635"/>
      <c r="W77" s="635"/>
      <c r="X77" s="635">
        <v>3969</v>
      </c>
      <c r="Y77" s="635"/>
      <c r="Z77" s="635"/>
      <c r="AA77" s="635"/>
      <c r="AB77" s="635"/>
      <c r="AC77" s="635"/>
      <c r="AD77" s="635"/>
      <c r="AE77" s="635"/>
      <c r="AF77" s="635"/>
      <c r="AG77" s="625">
        <f t="shared" si="11"/>
        <v>3969</v>
      </c>
      <c r="AH77" s="629"/>
    </row>
    <row r="78" spans="1:34" ht="18" customHeight="1">
      <c r="A78" s="634" t="s">
        <v>734</v>
      </c>
      <c r="B78" s="633" t="s">
        <v>618</v>
      </c>
      <c r="C78" s="635"/>
      <c r="D78" s="635"/>
      <c r="E78" s="635"/>
      <c r="F78" s="635"/>
      <c r="G78" s="635"/>
      <c r="H78" s="635"/>
      <c r="I78" s="635"/>
      <c r="J78" s="635"/>
      <c r="K78" s="635"/>
      <c r="L78" s="635"/>
      <c r="M78" s="635"/>
      <c r="N78" s="635"/>
      <c r="O78" s="635"/>
      <c r="P78" s="635"/>
      <c r="Q78" s="635"/>
      <c r="R78" s="635"/>
      <c r="S78" s="635"/>
      <c r="T78" s="635"/>
      <c r="U78" s="635"/>
      <c r="V78" s="635"/>
      <c r="W78" s="635"/>
      <c r="X78" s="635">
        <v>5145</v>
      </c>
      <c r="Y78" s="635"/>
      <c r="Z78" s="635"/>
      <c r="AA78" s="635"/>
      <c r="AB78" s="635"/>
      <c r="AC78" s="635"/>
      <c r="AD78" s="635"/>
      <c r="AE78" s="635"/>
      <c r="AF78" s="635"/>
      <c r="AG78" s="625">
        <f t="shared" si="11"/>
        <v>5145</v>
      </c>
      <c r="AH78" s="629"/>
    </row>
    <row r="79" spans="1:34" ht="18" customHeight="1">
      <c r="A79" s="634" t="s">
        <v>735</v>
      </c>
      <c r="B79" s="633" t="s">
        <v>619</v>
      </c>
      <c r="C79" s="635"/>
      <c r="D79" s="635"/>
      <c r="E79" s="635"/>
      <c r="F79" s="635"/>
      <c r="G79" s="635"/>
      <c r="H79" s="635"/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35"/>
      <c r="U79" s="635"/>
      <c r="V79" s="635"/>
      <c r="W79" s="635"/>
      <c r="X79" s="635">
        <v>3675</v>
      </c>
      <c r="Y79" s="635"/>
      <c r="Z79" s="635"/>
      <c r="AA79" s="635"/>
      <c r="AB79" s="635"/>
      <c r="AC79" s="635"/>
      <c r="AD79" s="635"/>
      <c r="AE79" s="635"/>
      <c r="AF79" s="635"/>
      <c r="AG79" s="625">
        <f t="shared" si="11"/>
        <v>3675</v>
      </c>
      <c r="AH79" s="629"/>
    </row>
    <row r="80" spans="1:34" ht="18" customHeight="1">
      <c r="A80" s="634" t="s">
        <v>736</v>
      </c>
      <c r="B80" s="633" t="s">
        <v>620</v>
      </c>
      <c r="C80" s="635"/>
      <c r="D80" s="635"/>
      <c r="E80" s="635"/>
      <c r="F80" s="635"/>
      <c r="G80" s="635"/>
      <c r="H80" s="635"/>
      <c r="I80" s="635"/>
      <c r="J80" s="635"/>
      <c r="K80" s="635"/>
      <c r="L80" s="635"/>
      <c r="M80" s="635"/>
      <c r="N80" s="635"/>
      <c r="O80" s="635"/>
      <c r="P80" s="635"/>
      <c r="Q80" s="635"/>
      <c r="R80" s="635"/>
      <c r="S80" s="635"/>
      <c r="T80" s="635"/>
      <c r="U80" s="635"/>
      <c r="V80" s="635"/>
      <c r="W80" s="635"/>
      <c r="X80" s="635">
        <v>4998</v>
      </c>
      <c r="Y80" s="635"/>
      <c r="Z80" s="635"/>
      <c r="AA80" s="635"/>
      <c r="AB80" s="635"/>
      <c r="AC80" s="635"/>
      <c r="AD80" s="635"/>
      <c r="AE80" s="635"/>
      <c r="AF80" s="635"/>
      <c r="AG80" s="625">
        <f aca="true" t="shared" si="12" ref="AG80:AG111">SUM(C80:AF80)-R80</f>
        <v>4998</v>
      </c>
      <c r="AH80" s="629"/>
    </row>
    <row r="81" spans="1:34" ht="18" customHeight="1">
      <c r="A81" s="634" t="s">
        <v>737</v>
      </c>
      <c r="B81" s="633" t="s">
        <v>621</v>
      </c>
      <c r="C81" s="635"/>
      <c r="D81" s="635"/>
      <c r="E81" s="635"/>
      <c r="F81" s="635"/>
      <c r="G81" s="635"/>
      <c r="H81" s="635"/>
      <c r="I81" s="635"/>
      <c r="J81" s="635"/>
      <c r="K81" s="635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635"/>
      <c r="W81" s="635"/>
      <c r="X81" s="635">
        <v>5145</v>
      </c>
      <c r="Y81" s="635"/>
      <c r="Z81" s="635"/>
      <c r="AA81" s="635"/>
      <c r="AB81" s="635"/>
      <c r="AC81" s="635"/>
      <c r="AD81" s="635"/>
      <c r="AE81" s="635"/>
      <c r="AF81" s="635"/>
      <c r="AG81" s="625">
        <f t="shared" si="12"/>
        <v>5145</v>
      </c>
      <c r="AH81" s="629"/>
    </row>
    <row r="82" spans="1:34" ht="18" customHeight="1">
      <c r="A82" s="634" t="s">
        <v>738</v>
      </c>
      <c r="B82" s="633" t="s">
        <v>622</v>
      </c>
      <c r="C82" s="635"/>
      <c r="D82" s="635"/>
      <c r="E82" s="635"/>
      <c r="F82" s="635"/>
      <c r="G82" s="635"/>
      <c r="H82" s="635"/>
      <c r="I82" s="635"/>
      <c r="J82" s="635"/>
      <c r="K82" s="635"/>
      <c r="L82" s="635"/>
      <c r="M82" s="635"/>
      <c r="N82" s="635"/>
      <c r="O82" s="635"/>
      <c r="P82" s="635"/>
      <c r="Q82" s="635"/>
      <c r="R82" s="635"/>
      <c r="S82" s="635"/>
      <c r="T82" s="635"/>
      <c r="U82" s="635"/>
      <c r="V82" s="635"/>
      <c r="W82" s="635"/>
      <c r="X82" s="635">
        <v>735</v>
      </c>
      <c r="Y82" s="635"/>
      <c r="Z82" s="635"/>
      <c r="AA82" s="635"/>
      <c r="AB82" s="635"/>
      <c r="AC82" s="635"/>
      <c r="AD82" s="635"/>
      <c r="AE82" s="635"/>
      <c r="AF82" s="635"/>
      <c r="AG82" s="625">
        <f t="shared" si="12"/>
        <v>735</v>
      </c>
      <c r="AH82" s="629"/>
    </row>
    <row r="83" spans="1:34" ht="18" customHeight="1">
      <c r="A83" s="634" t="s">
        <v>739</v>
      </c>
      <c r="B83" s="633" t="s">
        <v>623</v>
      </c>
      <c r="C83" s="635"/>
      <c r="D83" s="635"/>
      <c r="E83" s="635"/>
      <c r="F83" s="635"/>
      <c r="G83" s="635"/>
      <c r="H83" s="635"/>
      <c r="I83" s="635"/>
      <c r="J83" s="635"/>
      <c r="K83" s="635"/>
      <c r="L83" s="635"/>
      <c r="M83" s="635"/>
      <c r="N83" s="635"/>
      <c r="O83" s="635"/>
      <c r="P83" s="635"/>
      <c r="Q83" s="635"/>
      <c r="R83" s="635"/>
      <c r="S83" s="635"/>
      <c r="T83" s="635"/>
      <c r="U83" s="635"/>
      <c r="V83" s="635"/>
      <c r="W83" s="635"/>
      <c r="X83" s="635">
        <v>3969</v>
      </c>
      <c r="Y83" s="635"/>
      <c r="Z83" s="635"/>
      <c r="AA83" s="635"/>
      <c r="AB83" s="635"/>
      <c r="AC83" s="635"/>
      <c r="AD83" s="635"/>
      <c r="AE83" s="635"/>
      <c r="AF83" s="635"/>
      <c r="AG83" s="625">
        <f t="shared" si="12"/>
        <v>3969</v>
      </c>
      <c r="AH83" s="629"/>
    </row>
    <row r="84" spans="1:34" ht="18" customHeight="1">
      <c r="A84" s="634" t="s">
        <v>740</v>
      </c>
      <c r="B84" s="633" t="s">
        <v>624</v>
      </c>
      <c r="C84" s="635"/>
      <c r="D84" s="635"/>
      <c r="E84" s="635"/>
      <c r="F84" s="635"/>
      <c r="G84" s="635"/>
      <c r="H84" s="635"/>
      <c r="I84" s="635"/>
      <c r="J84" s="635"/>
      <c r="K84" s="635"/>
      <c r="L84" s="635"/>
      <c r="M84" s="635"/>
      <c r="N84" s="635"/>
      <c r="O84" s="635"/>
      <c r="P84" s="635"/>
      <c r="Q84" s="635"/>
      <c r="R84" s="635"/>
      <c r="S84" s="635"/>
      <c r="T84" s="635"/>
      <c r="U84" s="635"/>
      <c r="V84" s="635"/>
      <c r="W84" s="635"/>
      <c r="X84" s="635">
        <v>5145</v>
      </c>
      <c r="Y84" s="635"/>
      <c r="Z84" s="635"/>
      <c r="AA84" s="635"/>
      <c r="AB84" s="635"/>
      <c r="AC84" s="635"/>
      <c r="AD84" s="635"/>
      <c r="AE84" s="635"/>
      <c r="AF84" s="635"/>
      <c r="AG84" s="625">
        <f t="shared" si="12"/>
        <v>5145</v>
      </c>
      <c r="AH84" s="629"/>
    </row>
    <row r="85" spans="1:34" ht="18" customHeight="1">
      <c r="A85" s="634" t="s">
        <v>741</v>
      </c>
      <c r="B85" s="633" t="s">
        <v>625</v>
      </c>
      <c r="C85" s="635"/>
      <c r="D85" s="635"/>
      <c r="E85" s="635"/>
      <c r="F85" s="635"/>
      <c r="G85" s="635"/>
      <c r="H85" s="635"/>
      <c r="I85" s="635"/>
      <c r="J85" s="635"/>
      <c r="K85" s="635"/>
      <c r="L85" s="635"/>
      <c r="M85" s="635"/>
      <c r="N85" s="635"/>
      <c r="O85" s="635"/>
      <c r="P85" s="635"/>
      <c r="Q85" s="635"/>
      <c r="R85" s="635"/>
      <c r="S85" s="635"/>
      <c r="T85" s="635"/>
      <c r="U85" s="635"/>
      <c r="V85" s="635"/>
      <c r="W85" s="635"/>
      <c r="X85" s="635">
        <v>3822</v>
      </c>
      <c r="Y85" s="635"/>
      <c r="Z85" s="635"/>
      <c r="AA85" s="635"/>
      <c r="AB85" s="635"/>
      <c r="AC85" s="635"/>
      <c r="AD85" s="635"/>
      <c r="AE85" s="635"/>
      <c r="AF85" s="635"/>
      <c r="AG85" s="625">
        <f t="shared" si="12"/>
        <v>3822</v>
      </c>
      <c r="AH85" s="629"/>
    </row>
    <row r="86" spans="1:34" ht="18" customHeight="1">
      <c r="A86" s="634" t="s">
        <v>742</v>
      </c>
      <c r="B86" s="633" t="s">
        <v>626</v>
      </c>
      <c r="C86" s="635"/>
      <c r="D86" s="635"/>
      <c r="E86" s="635"/>
      <c r="F86" s="635"/>
      <c r="G86" s="635"/>
      <c r="H86" s="635"/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635"/>
      <c r="W86" s="635"/>
      <c r="X86" s="635">
        <v>441</v>
      </c>
      <c r="Y86" s="635"/>
      <c r="Z86" s="635"/>
      <c r="AA86" s="635"/>
      <c r="AB86" s="635"/>
      <c r="AC86" s="635"/>
      <c r="AD86" s="635"/>
      <c r="AE86" s="635"/>
      <c r="AF86" s="635"/>
      <c r="AG86" s="625">
        <f t="shared" si="12"/>
        <v>441</v>
      </c>
      <c r="AH86" s="629"/>
    </row>
    <row r="87" spans="1:34" ht="18" customHeight="1">
      <c r="A87" s="634" t="s">
        <v>743</v>
      </c>
      <c r="B87" s="633" t="s">
        <v>627</v>
      </c>
      <c r="C87" s="635"/>
      <c r="D87" s="635"/>
      <c r="E87" s="635"/>
      <c r="F87" s="635"/>
      <c r="G87" s="635"/>
      <c r="H87" s="635"/>
      <c r="I87" s="635"/>
      <c r="J87" s="635"/>
      <c r="K87" s="635"/>
      <c r="L87" s="635"/>
      <c r="M87" s="635"/>
      <c r="N87" s="635"/>
      <c r="O87" s="635"/>
      <c r="P87" s="635"/>
      <c r="Q87" s="635"/>
      <c r="R87" s="635"/>
      <c r="S87" s="635"/>
      <c r="T87" s="635"/>
      <c r="U87" s="635"/>
      <c r="V87" s="635"/>
      <c r="W87" s="635"/>
      <c r="X87" s="635">
        <v>1029</v>
      </c>
      <c r="Y87" s="635"/>
      <c r="Z87" s="635"/>
      <c r="AA87" s="635"/>
      <c r="AB87" s="635"/>
      <c r="AC87" s="635"/>
      <c r="AD87" s="635"/>
      <c r="AE87" s="635"/>
      <c r="AF87" s="635"/>
      <c r="AG87" s="625">
        <f t="shared" si="12"/>
        <v>1029</v>
      </c>
      <c r="AH87" s="629"/>
    </row>
    <row r="88" spans="1:34" ht="18" customHeight="1">
      <c r="A88" s="634" t="s">
        <v>744</v>
      </c>
      <c r="B88" s="633" t="s">
        <v>628</v>
      </c>
      <c r="C88" s="635"/>
      <c r="D88" s="635"/>
      <c r="E88" s="635"/>
      <c r="F88" s="635"/>
      <c r="G88" s="635"/>
      <c r="H88" s="635"/>
      <c r="I88" s="635"/>
      <c r="J88" s="635"/>
      <c r="K88" s="635"/>
      <c r="L88" s="635"/>
      <c r="M88" s="635"/>
      <c r="N88" s="635"/>
      <c r="O88" s="635"/>
      <c r="P88" s="635"/>
      <c r="Q88" s="635"/>
      <c r="R88" s="635"/>
      <c r="S88" s="635"/>
      <c r="T88" s="635"/>
      <c r="U88" s="635"/>
      <c r="V88" s="635"/>
      <c r="W88" s="635"/>
      <c r="X88" s="635">
        <v>3675</v>
      </c>
      <c r="Y88" s="635"/>
      <c r="Z88" s="635"/>
      <c r="AA88" s="635"/>
      <c r="AB88" s="635"/>
      <c r="AC88" s="635"/>
      <c r="AD88" s="635"/>
      <c r="AE88" s="635"/>
      <c r="AF88" s="635"/>
      <c r="AG88" s="625">
        <f t="shared" si="12"/>
        <v>3675</v>
      </c>
      <c r="AH88" s="629"/>
    </row>
    <row r="89" spans="1:34" ht="18" customHeight="1">
      <c r="A89" s="634" t="s">
        <v>745</v>
      </c>
      <c r="B89" s="633" t="s">
        <v>629</v>
      </c>
      <c r="C89" s="635"/>
      <c r="D89" s="635"/>
      <c r="E89" s="635"/>
      <c r="F89" s="635"/>
      <c r="G89" s="635"/>
      <c r="H89" s="635"/>
      <c r="I89" s="635"/>
      <c r="J89" s="635"/>
      <c r="K89" s="635"/>
      <c r="L89" s="635"/>
      <c r="M89" s="635"/>
      <c r="N89" s="635"/>
      <c r="O89" s="635"/>
      <c r="P89" s="635"/>
      <c r="Q89" s="635"/>
      <c r="R89" s="635"/>
      <c r="S89" s="635"/>
      <c r="T89" s="635"/>
      <c r="U89" s="635"/>
      <c r="V89" s="635"/>
      <c r="W89" s="635"/>
      <c r="X89" s="635">
        <v>2205</v>
      </c>
      <c r="Y89" s="635"/>
      <c r="Z89" s="635"/>
      <c r="AA89" s="635"/>
      <c r="AB89" s="635"/>
      <c r="AC89" s="635"/>
      <c r="AD89" s="635"/>
      <c r="AE89" s="635"/>
      <c r="AF89" s="635"/>
      <c r="AG89" s="625">
        <f t="shared" si="12"/>
        <v>2205</v>
      </c>
      <c r="AH89" s="629"/>
    </row>
    <row r="90" spans="1:34" ht="18" customHeight="1">
      <c r="A90" s="634" t="s">
        <v>746</v>
      </c>
      <c r="B90" s="633" t="s">
        <v>630</v>
      </c>
      <c r="C90" s="635"/>
      <c r="D90" s="635"/>
      <c r="E90" s="635"/>
      <c r="F90" s="635"/>
      <c r="G90" s="635"/>
      <c r="H90" s="635"/>
      <c r="I90" s="635"/>
      <c r="J90" s="635"/>
      <c r="K90" s="635"/>
      <c r="L90" s="635"/>
      <c r="M90" s="635"/>
      <c r="N90" s="635"/>
      <c r="O90" s="635"/>
      <c r="P90" s="635"/>
      <c r="Q90" s="635"/>
      <c r="R90" s="635"/>
      <c r="S90" s="635"/>
      <c r="T90" s="635"/>
      <c r="U90" s="635"/>
      <c r="V90" s="635"/>
      <c r="W90" s="635"/>
      <c r="X90" s="635">
        <v>1470</v>
      </c>
      <c r="Y90" s="635"/>
      <c r="Z90" s="635"/>
      <c r="AA90" s="635"/>
      <c r="AB90" s="635"/>
      <c r="AC90" s="635"/>
      <c r="AD90" s="635"/>
      <c r="AE90" s="635"/>
      <c r="AF90" s="635"/>
      <c r="AG90" s="625">
        <f t="shared" si="12"/>
        <v>1470</v>
      </c>
      <c r="AH90" s="629"/>
    </row>
    <row r="91" spans="1:34" ht="18" customHeight="1">
      <c r="A91" s="634" t="s">
        <v>747</v>
      </c>
      <c r="B91" s="633" t="s">
        <v>748</v>
      </c>
      <c r="C91" s="635"/>
      <c r="D91" s="635"/>
      <c r="E91" s="635"/>
      <c r="F91" s="635"/>
      <c r="G91" s="635"/>
      <c r="H91" s="635"/>
      <c r="I91" s="635"/>
      <c r="J91" s="635"/>
      <c r="K91" s="635"/>
      <c r="L91" s="635"/>
      <c r="M91" s="635"/>
      <c r="N91" s="635"/>
      <c r="O91" s="635"/>
      <c r="P91" s="635"/>
      <c r="Q91" s="635"/>
      <c r="R91" s="635"/>
      <c r="S91" s="635"/>
      <c r="T91" s="635"/>
      <c r="U91" s="635"/>
      <c r="V91" s="635"/>
      <c r="W91" s="635"/>
      <c r="X91" s="635">
        <v>735</v>
      </c>
      <c r="Y91" s="635"/>
      <c r="Z91" s="635"/>
      <c r="AA91" s="635"/>
      <c r="AB91" s="635"/>
      <c r="AC91" s="635"/>
      <c r="AD91" s="635"/>
      <c r="AE91" s="635"/>
      <c r="AF91" s="635"/>
      <c r="AG91" s="625">
        <f t="shared" si="12"/>
        <v>735</v>
      </c>
      <c r="AH91" s="629"/>
    </row>
    <row r="92" spans="1:34" ht="18" customHeight="1">
      <c r="A92" s="634" t="s">
        <v>749</v>
      </c>
      <c r="B92" s="633" t="s">
        <v>631</v>
      </c>
      <c r="C92" s="635"/>
      <c r="D92" s="635"/>
      <c r="E92" s="635"/>
      <c r="F92" s="635"/>
      <c r="G92" s="635"/>
      <c r="H92" s="635"/>
      <c r="I92" s="635"/>
      <c r="J92" s="635"/>
      <c r="K92" s="635"/>
      <c r="L92" s="635"/>
      <c r="M92" s="635"/>
      <c r="N92" s="635"/>
      <c r="O92" s="635"/>
      <c r="P92" s="635"/>
      <c r="Q92" s="635"/>
      <c r="R92" s="635"/>
      <c r="S92" s="635"/>
      <c r="T92" s="635"/>
      <c r="U92" s="635"/>
      <c r="V92" s="635"/>
      <c r="W92" s="635"/>
      <c r="X92" s="635">
        <v>147</v>
      </c>
      <c r="Y92" s="635"/>
      <c r="Z92" s="635"/>
      <c r="AA92" s="635"/>
      <c r="AB92" s="635"/>
      <c r="AC92" s="635"/>
      <c r="AD92" s="635"/>
      <c r="AE92" s="635"/>
      <c r="AF92" s="635"/>
      <c r="AG92" s="625">
        <f t="shared" si="12"/>
        <v>147</v>
      </c>
      <c r="AH92" s="629"/>
    </row>
    <row r="93" spans="1:34" ht="18" customHeight="1">
      <c r="A93" s="634" t="s">
        <v>750</v>
      </c>
      <c r="B93" s="633" t="s">
        <v>633</v>
      </c>
      <c r="C93" s="635"/>
      <c r="D93" s="635"/>
      <c r="E93" s="635"/>
      <c r="F93" s="635"/>
      <c r="G93" s="635"/>
      <c r="H93" s="635"/>
      <c r="I93" s="635"/>
      <c r="J93" s="635"/>
      <c r="K93" s="635"/>
      <c r="L93" s="635"/>
      <c r="M93" s="635"/>
      <c r="N93" s="635"/>
      <c r="O93" s="635"/>
      <c r="P93" s="635"/>
      <c r="Q93" s="635"/>
      <c r="R93" s="635"/>
      <c r="S93" s="635"/>
      <c r="T93" s="635"/>
      <c r="U93" s="635"/>
      <c r="V93" s="635"/>
      <c r="W93" s="635"/>
      <c r="X93" s="635">
        <v>294</v>
      </c>
      <c r="Y93" s="635"/>
      <c r="Z93" s="635"/>
      <c r="AA93" s="635"/>
      <c r="AB93" s="635"/>
      <c r="AC93" s="635"/>
      <c r="AD93" s="635"/>
      <c r="AE93" s="635"/>
      <c r="AF93" s="635"/>
      <c r="AG93" s="625">
        <f t="shared" si="12"/>
        <v>294</v>
      </c>
      <c r="AH93" s="629"/>
    </row>
    <row r="94" spans="1:34" ht="18" customHeight="1">
      <c r="A94" s="634" t="s">
        <v>751</v>
      </c>
      <c r="B94" s="642" t="s">
        <v>634</v>
      </c>
      <c r="C94" s="635"/>
      <c r="D94" s="635"/>
      <c r="E94" s="635"/>
      <c r="F94" s="635"/>
      <c r="G94" s="635"/>
      <c r="H94" s="635"/>
      <c r="I94" s="635"/>
      <c r="J94" s="635"/>
      <c r="K94" s="635"/>
      <c r="L94" s="635"/>
      <c r="M94" s="635"/>
      <c r="N94" s="635"/>
      <c r="O94" s="635"/>
      <c r="P94" s="635"/>
      <c r="Q94" s="635"/>
      <c r="R94" s="635"/>
      <c r="S94" s="635"/>
      <c r="T94" s="635"/>
      <c r="U94" s="635"/>
      <c r="V94" s="635"/>
      <c r="W94" s="635"/>
      <c r="X94" s="635">
        <v>5292</v>
      </c>
      <c r="Y94" s="635"/>
      <c r="Z94" s="635"/>
      <c r="AA94" s="635"/>
      <c r="AB94" s="635"/>
      <c r="AC94" s="635"/>
      <c r="AD94" s="635"/>
      <c r="AE94" s="635"/>
      <c r="AF94" s="635"/>
      <c r="AG94" s="625">
        <f t="shared" si="12"/>
        <v>5292</v>
      </c>
      <c r="AH94" s="629"/>
    </row>
    <row r="95" spans="1:34" ht="18" customHeight="1">
      <c r="A95" s="634" t="s">
        <v>752</v>
      </c>
      <c r="B95" s="642" t="s">
        <v>635</v>
      </c>
      <c r="C95" s="635"/>
      <c r="D95" s="635"/>
      <c r="E95" s="635"/>
      <c r="F95" s="635"/>
      <c r="G95" s="635"/>
      <c r="H95" s="635"/>
      <c r="I95" s="635"/>
      <c r="J95" s="635"/>
      <c r="K95" s="635"/>
      <c r="L95" s="635"/>
      <c r="M95" s="635"/>
      <c r="N95" s="635"/>
      <c r="O95" s="635"/>
      <c r="P95" s="635"/>
      <c r="Q95" s="635"/>
      <c r="R95" s="635"/>
      <c r="S95" s="635"/>
      <c r="T95" s="635"/>
      <c r="U95" s="635"/>
      <c r="V95" s="635"/>
      <c r="W95" s="635"/>
      <c r="X95" s="635">
        <v>147</v>
      </c>
      <c r="Y95" s="635"/>
      <c r="Z95" s="635"/>
      <c r="AA95" s="635"/>
      <c r="AB95" s="635"/>
      <c r="AC95" s="635"/>
      <c r="AD95" s="635"/>
      <c r="AE95" s="635"/>
      <c r="AF95" s="635"/>
      <c r="AG95" s="625">
        <f t="shared" si="12"/>
        <v>147</v>
      </c>
      <c r="AH95" s="629"/>
    </row>
    <row r="96" spans="1:34" ht="18" customHeight="1">
      <c r="A96" s="634" t="s">
        <v>753</v>
      </c>
      <c r="B96" s="642" t="s">
        <v>636</v>
      </c>
      <c r="C96" s="635"/>
      <c r="D96" s="635"/>
      <c r="E96" s="635"/>
      <c r="F96" s="635"/>
      <c r="G96" s="635"/>
      <c r="H96" s="635"/>
      <c r="I96" s="635"/>
      <c r="J96" s="635"/>
      <c r="K96" s="635"/>
      <c r="L96" s="635"/>
      <c r="M96" s="635"/>
      <c r="N96" s="635"/>
      <c r="O96" s="635"/>
      <c r="P96" s="635"/>
      <c r="Q96" s="635"/>
      <c r="R96" s="635"/>
      <c r="S96" s="635"/>
      <c r="T96" s="635"/>
      <c r="U96" s="635"/>
      <c r="V96" s="635"/>
      <c r="W96" s="635"/>
      <c r="X96" s="635">
        <v>294</v>
      </c>
      <c r="Y96" s="635"/>
      <c r="Z96" s="635"/>
      <c r="AA96" s="635"/>
      <c r="AB96" s="635"/>
      <c r="AC96" s="635"/>
      <c r="AD96" s="635"/>
      <c r="AE96" s="635"/>
      <c r="AF96" s="635"/>
      <c r="AG96" s="625">
        <f t="shared" si="12"/>
        <v>294</v>
      </c>
      <c r="AH96" s="629"/>
    </row>
    <row r="97" spans="1:34" ht="18" customHeight="1">
      <c r="A97" s="634" t="s">
        <v>754</v>
      </c>
      <c r="B97" s="642" t="s">
        <v>637</v>
      </c>
      <c r="C97" s="635"/>
      <c r="D97" s="635"/>
      <c r="E97" s="635"/>
      <c r="F97" s="635"/>
      <c r="G97" s="635"/>
      <c r="H97" s="635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5"/>
      <c r="V97" s="635"/>
      <c r="W97" s="635"/>
      <c r="X97" s="635">
        <v>3675</v>
      </c>
      <c r="Y97" s="635"/>
      <c r="Z97" s="635"/>
      <c r="AA97" s="635"/>
      <c r="AB97" s="635"/>
      <c r="AC97" s="635"/>
      <c r="AD97" s="635"/>
      <c r="AE97" s="635"/>
      <c r="AF97" s="635"/>
      <c r="AG97" s="625">
        <f t="shared" si="12"/>
        <v>3675</v>
      </c>
      <c r="AH97" s="629"/>
    </row>
    <row r="98" spans="1:34" ht="18" customHeight="1">
      <c r="A98" s="634" t="s">
        <v>755</v>
      </c>
      <c r="B98" s="648" t="s">
        <v>640</v>
      </c>
      <c r="C98" s="635"/>
      <c r="D98" s="635"/>
      <c r="E98" s="635"/>
      <c r="F98" s="635"/>
      <c r="G98" s="635"/>
      <c r="H98" s="635"/>
      <c r="I98" s="635"/>
      <c r="J98" s="635"/>
      <c r="K98" s="635"/>
      <c r="L98" s="635"/>
      <c r="M98" s="635"/>
      <c r="N98" s="635"/>
      <c r="O98" s="635"/>
      <c r="P98" s="635"/>
      <c r="Q98" s="635"/>
      <c r="R98" s="635"/>
      <c r="S98" s="635"/>
      <c r="T98" s="635"/>
      <c r="U98" s="635"/>
      <c r="V98" s="635"/>
      <c r="W98" s="635"/>
      <c r="X98" s="635">
        <v>4692</v>
      </c>
      <c r="Y98" s="635"/>
      <c r="Z98" s="635"/>
      <c r="AA98" s="635"/>
      <c r="AB98" s="635"/>
      <c r="AC98" s="635"/>
      <c r="AD98" s="635"/>
      <c r="AE98" s="635"/>
      <c r="AF98" s="635"/>
      <c r="AG98" s="625">
        <f t="shared" si="12"/>
        <v>4692</v>
      </c>
      <c r="AH98" s="629"/>
    </row>
    <row r="99" spans="1:34" ht="18" customHeight="1">
      <c r="A99" s="634" t="s">
        <v>756</v>
      </c>
      <c r="B99" s="649" t="s">
        <v>641</v>
      </c>
      <c r="C99" s="635"/>
      <c r="D99" s="635"/>
      <c r="E99" s="635"/>
      <c r="F99" s="635"/>
      <c r="G99" s="635"/>
      <c r="H99" s="635"/>
      <c r="I99" s="635"/>
      <c r="J99" s="635"/>
      <c r="K99" s="635"/>
      <c r="L99" s="635"/>
      <c r="M99" s="635"/>
      <c r="N99" s="635"/>
      <c r="O99" s="635"/>
      <c r="P99" s="635"/>
      <c r="Q99" s="635"/>
      <c r="R99" s="635"/>
      <c r="S99" s="635"/>
      <c r="T99" s="635"/>
      <c r="U99" s="635"/>
      <c r="V99" s="635"/>
      <c r="W99" s="635"/>
      <c r="X99" s="635">
        <v>4399</v>
      </c>
      <c r="Y99" s="635"/>
      <c r="Z99" s="635"/>
      <c r="AA99" s="635"/>
      <c r="AB99" s="635"/>
      <c r="AC99" s="635"/>
      <c r="AD99" s="635"/>
      <c r="AE99" s="635"/>
      <c r="AF99" s="635"/>
      <c r="AG99" s="625">
        <f t="shared" si="12"/>
        <v>4399</v>
      </c>
      <c r="AH99" s="629"/>
    </row>
    <row r="100" spans="1:34" ht="18" customHeight="1">
      <c r="A100" s="634" t="s">
        <v>757</v>
      </c>
      <c r="B100" s="649" t="s">
        <v>642</v>
      </c>
      <c r="C100" s="635"/>
      <c r="D100" s="635"/>
      <c r="E100" s="635"/>
      <c r="F100" s="635"/>
      <c r="G100" s="635"/>
      <c r="H100" s="635"/>
      <c r="I100" s="635"/>
      <c r="J100" s="635"/>
      <c r="K100" s="635"/>
      <c r="L100" s="635"/>
      <c r="M100" s="635"/>
      <c r="N100" s="635"/>
      <c r="O100" s="635"/>
      <c r="P100" s="635"/>
      <c r="Q100" s="635"/>
      <c r="R100" s="635"/>
      <c r="S100" s="635"/>
      <c r="T100" s="635"/>
      <c r="U100" s="635"/>
      <c r="V100" s="635"/>
      <c r="W100" s="635"/>
      <c r="X100" s="635">
        <v>3959</v>
      </c>
      <c r="Y100" s="635"/>
      <c r="Z100" s="635"/>
      <c r="AA100" s="635"/>
      <c r="AB100" s="635"/>
      <c r="AC100" s="635"/>
      <c r="AD100" s="635"/>
      <c r="AE100" s="635"/>
      <c r="AF100" s="635"/>
      <c r="AG100" s="625">
        <f t="shared" si="12"/>
        <v>3959</v>
      </c>
      <c r="AH100" s="629"/>
    </row>
    <row r="101" spans="1:34" ht="18" customHeight="1">
      <c r="A101" s="634" t="s">
        <v>758</v>
      </c>
      <c r="B101" s="649" t="s">
        <v>643</v>
      </c>
      <c r="C101" s="635"/>
      <c r="D101" s="635"/>
      <c r="E101" s="635"/>
      <c r="F101" s="635"/>
      <c r="G101" s="635"/>
      <c r="H101" s="635"/>
      <c r="I101" s="635"/>
      <c r="J101" s="635"/>
      <c r="K101" s="635"/>
      <c r="L101" s="635"/>
      <c r="M101" s="635"/>
      <c r="N101" s="635"/>
      <c r="O101" s="635"/>
      <c r="P101" s="635"/>
      <c r="Q101" s="635"/>
      <c r="R101" s="635"/>
      <c r="S101" s="635"/>
      <c r="T101" s="635"/>
      <c r="U101" s="635"/>
      <c r="V101" s="635"/>
      <c r="W101" s="635"/>
      <c r="X101" s="635">
        <v>2199</v>
      </c>
      <c r="Y101" s="635"/>
      <c r="Z101" s="635"/>
      <c r="AA101" s="635"/>
      <c r="AB101" s="635"/>
      <c r="AC101" s="635"/>
      <c r="AD101" s="635"/>
      <c r="AE101" s="635"/>
      <c r="AF101" s="635"/>
      <c r="AG101" s="625">
        <f t="shared" si="12"/>
        <v>2199</v>
      </c>
      <c r="AH101" s="629"/>
    </row>
    <row r="102" spans="1:34" ht="18" customHeight="1">
      <c r="A102" s="634" t="s">
        <v>759</v>
      </c>
      <c r="B102" s="649" t="s">
        <v>644</v>
      </c>
      <c r="C102" s="635"/>
      <c r="D102" s="635"/>
      <c r="E102" s="635"/>
      <c r="F102" s="635"/>
      <c r="G102" s="635"/>
      <c r="H102" s="635"/>
      <c r="I102" s="635"/>
      <c r="J102" s="635"/>
      <c r="K102" s="635"/>
      <c r="L102" s="635"/>
      <c r="M102" s="635"/>
      <c r="N102" s="635"/>
      <c r="O102" s="635"/>
      <c r="P102" s="635"/>
      <c r="Q102" s="635"/>
      <c r="R102" s="635"/>
      <c r="S102" s="635"/>
      <c r="T102" s="635"/>
      <c r="U102" s="635"/>
      <c r="V102" s="635"/>
      <c r="W102" s="635"/>
      <c r="X102" s="635">
        <v>5865</v>
      </c>
      <c r="Y102" s="635"/>
      <c r="Z102" s="635"/>
      <c r="AA102" s="635"/>
      <c r="AB102" s="635"/>
      <c r="AC102" s="635"/>
      <c r="AD102" s="635"/>
      <c r="AE102" s="635"/>
      <c r="AF102" s="635"/>
      <c r="AG102" s="625">
        <f t="shared" si="12"/>
        <v>5865</v>
      </c>
      <c r="AH102" s="629"/>
    </row>
    <row r="103" spans="1:34" ht="18" customHeight="1">
      <c r="A103" s="634" t="s">
        <v>760</v>
      </c>
      <c r="B103" s="649" t="s">
        <v>645</v>
      </c>
      <c r="C103" s="635"/>
      <c r="D103" s="635"/>
      <c r="E103" s="635"/>
      <c r="F103" s="635"/>
      <c r="G103" s="635"/>
      <c r="H103" s="635"/>
      <c r="I103" s="635"/>
      <c r="J103" s="635"/>
      <c r="K103" s="635"/>
      <c r="L103" s="635"/>
      <c r="M103" s="635"/>
      <c r="N103" s="635"/>
      <c r="O103" s="635"/>
      <c r="P103" s="635"/>
      <c r="Q103" s="635"/>
      <c r="R103" s="635"/>
      <c r="S103" s="635"/>
      <c r="T103" s="635"/>
      <c r="U103" s="635"/>
      <c r="V103" s="635"/>
      <c r="W103" s="635"/>
      <c r="X103" s="635">
        <v>3079</v>
      </c>
      <c r="Y103" s="635"/>
      <c r="Z103" s="635"/>
      <c r="AA103" s="635"/>
      <c r="AB103" s="635"/>
      <c r="AC103" s="635"/>
      <c r="AD103" s="635"/>
      <c r="AE103" s="635"/>
      <c r="AF103" s="635"/>
      <c r="AG103" s="625">
        <f t="shared" si="12"/>
        <v>3079</v>
      </c>
      <c r="AH103" s="629"/>
    </row>
    <row r="104" spans="1:34" ht="18" customHeight="1">
      <c r="A104" s="634" t="s">
        <v>761</v>
      </c>
      <c r="B104" s="649" t="s">
        <v>647</v>
      </c>
      <c r="C104" s="635"/>
      <c r="D104" s="635"/>
      <c r="E104" s="635"/>
      <c r="F104" s="635"/>
      <c r="G104" s="635"/>
      <c r="H104" s="635"/>
      <c r="I104" s="635"/>
      <c r="J104" s="635"/>
      <c r="K104" s="635"/>
      <c r="L104" s="635"/>
      <c r="M104" s="635"/>
      <c r="N104" s="635"/>
      <c r="O104" s="635"/>
      <c r="P104" s="635"/>
      <c r="Q104" s="635"/>
      <c r="R104" s="635"/>
      <c r="S104" s="635"/>
      <c r="T104" s="635"/>
      <c r="U104" s="635"/>
      <c r="V104" s="635"/>
      <c r="W104" s="635"/>
      <c r="X104" s="635">
        <v>3226</v>
      </c>
      <c r="Y104" s="635"/>
      <c r="Z104" s="635"/>
      <c r="AA104" s="635"/>
      <c r="AB104" s="635"/>
      <c r="AC104" s="635"/>
      <c r="AD104" s="635"/>
      <c r="AE104" s="635"/>
      <c r="AF104" s="635"/>
      <c r="AG104" s="625">
        <f t="shared" si="12"/>
        <v>3226</v>
      </c>
      <c r="AH104" s="629"/>
    </row>
    <row r="105" spans="1:34" ht="18" customHeight="1">
      <c r="A105" s="634" t="s">
        <v>762</v>
      </c>
      <c r="B105" s="649" t="s">
        <v>649</v>
      </c>
      <c r="C105" s="635"/>
      <c r="D105" s="635"/>
      <c r="E105" s="635"/>
      <c r="F105" s="635"/>
      <c r="G105" s="635"/>
      <c r="H105" s="635"/>
      <c r="I105" s="635"/>
      <c r="J105" s="635"/>
      <c r="K105" s="635"/>
      <c r="L105" s="635"/>
      <c r="M105" s="635"/>
      <c r="N105" s="635"/>
      <c r="O105" s="635"/>
      <c r="P105" s="635"/>
      <c r="Q105" s="635"/>
      <c r="R105" s="635"/>
      <c r="S105" s="635"/>
      <c r="T105" s="635"/>
      <c r="U105" s="635"/>
      <c r="V105" s="635"/>
      <c r="W105" s="635"/>
      <c r="X105" s="635">
        <v>3079</v>
      </c>
      <c r="Y105" s="635"/>
      <c r="Z105" s="635"/>
      <c r="AA105" s="635"/>
      <c r="AB105" s="635"/>
      <c r="AC105" s="635"/>
      <c r="AD105" s="635"/>
      <c r="AE105" s="635"/>
      <c r="AF105" s="635"/>
      <c r="AG105" s="625">
        <f t="shared" si="12"/>
        <v>3079</v>
      </c>
      <c r="AH105" s="629"/>
    </row>
    <row r="106" spans="1:34" ht="18" customHeight="1">
      <c r="A106" s="634" t="s">
        <v>763</v>
      </c>
      <c r="B106" s="649" t="s">
        <v>650</v>
      </c>
      <c r="C106" s="635"/>
      <c r="D106" s="635"/>
      <c r="E106" s="635"/>
      <c r="F106" s="635"/>
      <c r="G106" s="635"/>
      <c r="H106" s="635"/>
      <c r="I106" s="635"/>
      <c r="J106" s="635"/>
      <c r="K106" s="635"/>
      <c r="L106" s="635"/>
      <c r="M106" s="635"/>
      <c r="N106" s="635"/>
      <c r="O106" s="635"/>
      <c r="P106" s="635"/>
      <c r="Q106" s="635"/>
      <c r="R106" s="635"/>
      <c r="S106" s="635"/>
      <c r="T106" s="635"/>
      <c r="U106" s="635"/>
      <c r="V106" s="635"/>
      <c r="W106" s="635"/>
      <c r="X106" s="635">
        <v>3519</v>
      </c>
      <c r="Y106" s="635"/>
      <c r="Z106" s="635"/>
      <c r="AA106" s="635"/>
      <c r="AB106" s="635"/>
      <c r="AC106" s="635"/>
      <c r="AD106" s="635"/>
      <c r="AE106" s="635"/>
      <c r="AF106" s="635"/>
      <c r="AG106" s="625">
        <f t="shared" si="12"/>
        <v>3519</v>
      </c>
      <c r="AH106" s="629"/>
    </row>
    <row r="107" spans="1:34" ht="18" customHeight="1">
      <c r="A107" s="634" t="s">
        <v>764</v>
      </c>
      <c r="B107" s="649" t="s">
        <v>651</v>
      </c>
      <c r="C107" s="635"/>
      <c r="D107" s="635"/>
      <c r="E107" s="635"/>
      <c r="F107" s="635"/>
      <c r="G107" s="635"/>
      <c r="H107" s="635"/>
      <c r="I107" s="635"/>
      <c r="J107" s="635"/>
      <c r="K107" s="635"/>
      <c r="L107" s="635"/>
      <c r="M107" s="635"/>
      <c r="N107" s="635"/>
      <c r="O107" s="635"/>
      <c r="P107" s="635"/>
      <c r="Q107" s="635"/>
      <c r="R107" s="635"/>
      <c r="S107" s="635"/>
      <c r="T107" s="635"/>
      <c r="U107" s="635"/>
      <c r="V107" s="635"/>
      <c r="W107" s="635"/>
      <c r="X107" s="635">
        <v>147</v>
      </c>
      <c r="Y107" s="635"/>
      <c r="Z107" s="635"/>
      <c r="AA107" s="635"/>
      <c r="AB107" s="635"/>
      <c r="AC107" s="635"/>
      <c r="AD107" s="635"/>
      <c r="AE107" s="635"/>
      <c r="AF107" s="635"/>
      <c r="AG107" s="625">
        <f t="shared" si="12"/>
        <v>147</v>
      </c>
      <c r="AH107" s="629"/>
    </row>
    <row r="108" spans="1:34" ht="18" customHeight="1">
      <c r="A108" s="634" t="s">
        <v>765</v>
      </c>
      <c r="B108" s="649" t="s">
        <v>652</v>
      </c>
      <c r="C108" s="635"/>
      <c r="D108" s="635"/>
      <c r="E108" s="635"/>
      <c r="F108" s="635"/>
      <c r="G108" s="635"/>
      <c r="H108" s="635"/>
      <c r="I108" s="635"/>
      <c r="J108" s="635"/>
      <c r="K108" s="635"/>
      <c r="L108" s="635"/>
      <c r="M108" s="635"/>
      <c r="N108" s="635"/>
      <c r="O108" s="635"/>
      <c r="P108" s="635"/>
      <c r="Q108" s="635"/>
      <c r="R108" s="635"/>
      <c r="S108" s="635"/>
      <c r="T108" s="635"/>
      <c r="U108" s="635"/>
      <c r="V108" s="635"/>
      <c r="W108" s="635"/>
      <c r="X108" s="635">
        <v>147</v>
      </c>
      <c r="Y108" s="635"/>
      <c r="Z108" s="635"/>
      <c r="AA108" s="635"/>
      <c r="AB108" s="635"/>
      <c r="AC108" s="635"/>
      <c r="AD108" s="635"/>
      <c r="AE108" s="635"/>
      <c r="AF108" s="635"/>
      <c r="AG108" s="625">
        <f t="shared" si="12"/>
        <v>147</v>
      </c>
      <c r="AH108" s="629"/>
    </row>
    <row r="109" spans="1:34" ht="18" customHeight="1">
      <c r="A109" s="634" t="s">
        <v>766</v>
      </c>
      <c r="B109" s="649" t="s">
        <v>654</v>
      </c>
      <c r="C109" s="635"/>
      <c r="D109" s="635"/>
      <c r="E109" s="635"/>
      <c r="F109" s="635"/>
      <c r="G109" s="635"/>
      <c r="H109" s="635"/>
      <c r="I109" s="635"/>
      <c r="J109" s="635"/>
      <c r="K109" s="635"/>
      <c r="L109" s="635"/>
      <c r="M109" s="635"/>
      <c r="N109" s="635"/>
      <c r="O109" s="635"/>
      <c r="P109" s="635"/>
      <c r="Q109" s="635"/>
      <c r="R109" s="635"/>
      <c r="S109" s="635"/>
      <c r="T109" s="635"/>
      <c r="U109" s="635"/>
      <c r="V109" s="635"/>
      <c r="W109" s="635"/>
      <c r="X109" s="635">
        <v>147</v>
      </c>
      <c r="Y109" s="635"/>
      <c r="Z109" s="635"/>
      <c r="AA109" s="635"/>
      <c r="AB109" s="635"/>
      <c r="AC109" s="635"/>
      <c r="AD109" s="635"/>
      <c r="AE109" s="635"/>
      <c r="AF109" s="635"/>
      <c r="AG109" s="625">
        <f t="shared" si="12"/>
        <v>147</v>
      </c>
      <c r="AH109" s="629"/>
    </row>
    <row r="110" spans="1:34" ht="18" customHeight="1">
      <c r="A110" s="634" t="s">
        <v>767</v>
      </c>
      <c r="B110" s="649" t="s">
        <v>653</v>
      </c>
      <c r="C110" s="635"/>
      <c r="D110" s="635"/>
      <c r="E110" s="635"/>
      <c r="F110" s="635"/>
      <c r="G110" s="635"/>
      <c r="H110" s="635"/>
      <c r="I110" s="635"/>
      <c r="J110" s="635"/>
      <c r="K110" s="635"/>
      <c r="L110" s="635"/>
      <c r="M110" s="635"/>
      <c r="N110" s="635"/>
      <c r="O110" s="635"/>
      <c r="P110" s="635"/>
      <c r="Q110" s="635"/>
      <c r="R110" s="635"/>
      <c r="S110" s="635"/>
      <c r="T110" s="635"/>
      <c r="U110" s="635"/>
      <c r="V110" s="635"/>
      <c r="W110" s="635"/>
      <c r="X110" s="635">
        <v>7478</v>
      </c>
      <c r="Y110" s="635"/>
      <c r="Z110" s="635"/>
      <c r="AA110" s="635"/>
      <c r="AB110" s="635"/>
      <c r="AC110" s="635"/>
      <c r="AD110" s="635"/>
      <c r="AE110" s="635"/>
      <c r="AF110" s="635"/>
      <c r="AG110" s="625">
        <f t="shared" si="12"/>
        <v>7478</v>
      </c>
      <c r="AH110" s="629"/>
    </row>
    <row r="111" spans="1:34" ht="18" customHeight="1">
      <c r="A111" s="634" t="s">
        <v>768</v>
      </c>
      <c r="B111" s="649" t="s">
        <v>655</v>
      </c>
      <c r="C111" s="635"/>
      <c r="D111" s="635"/>
      <c r="E111" s="635"/>
      <c r="F111" s="635"/>
      <c r="G111" s="635"/>
      <c r="H111" s="635"/>
      <c r="I111" s="635"/>
      <c r="J111" s="635"/>
      <c r="K111" s="635"/>
      <c r="L111" s="635"/>
      <c r="M111" s="635"/>
      <c r="N111" s="635"/>
      <c r="O111" s="635"/>
      <c r="P111" s="635"/>
      <c r="Q111" s="635"/>
      <c r="R111" s="635"/>
      <c r="S111" s="635"/>
      <c r="T111" s="635"/>
      <c r="U111" s="635"/>
      <c r="V111" s="635"/>
      <c r="W111" s="635"/>
      <c r="X111" s="635">
        <v>733</v>
      </c>
      <c r="Y111" s="635"/>
      <c r="Z111" s="635"/>
      <c r="AA111" s="635"/>
      <c r="AB111" s="635"/>
      <c r="AC111" s="635"/>
      <c r="AD111" s="635"/>
      <c r="AE111" s="635"/>
      <c r="AF111" s="635"/>
      <c r="AG111" s="625">
        <f t="shared" si="12"/>
        <v>733</v>
      </c>
      <c r="AH111" s="629"/>
    </row>
    <row r="112" spans="1:34" ht="18" customHeight="1">
      <c r="A112" s="634" t="s">
        <v>769</v>
      </c>
      <c r="B112" s="639" t="s">
        <v>679</v>
      </c>
      <c r="C112" s="635"/>
      <c r="D112" s="635"/>
      <c r="E112" s="635"/>
      <c r="F112" s="635"/>
      <c r="G112" s="635"/>
      <c r="H112" s="635"/>
      <c r="I112" s="635"/>
      <c r="J112" s="635"/>
      <c r="K112" s="635"/>
      <c r="L112" s="635"/>
      <c r="M112" s="635"/>
      <c r="N112" s="635"/>
      <c r="O112" s="635"/>
      <c r="P112" s="635"/>
      <c r="Q112" s="635"/>
      <c r="R112" s="635"/>
      <c r="S112" s="635"/>
      <c r="T112" s="635"/>
      <c r="U112" s="635"/>
      <c r="V112" s="635"/>
      <c r="W112" s="635"/>
      <c r="X112" s="635">
        <v>6011</v>
      </c>
      <c r="Y112" s="635"/>
      <c r="Z112" s="635"/>
      <c r="AA112" s="635"/>
      <c r="AB112" s="635"/>
      <c r="AC112" s="635"/>
      <c r="AD112" s="635"/>
      <c r="AE112" s="635"/>
      <c r="AF112" s="635"/>
      <c r="AG112" s="625">
        <f aca="true" t="shared" si="13" ref="AG112:AG134">SUM(C112:AF112)-R112</f>
        <v>6011</v>
      </c>
      <c r="AH112" s="629"/>
    </row>
    <row r="113" spans="1:34" ht="18" customHeight="1">
      <c r="A113" s="634" t="s">
        <v>770</v>
      </c>
      <c r="B113" s="639" t="s">
        <v>771</v>
      </c>
      <c r="C113" s="635"/>
      <c r="D113" s="635"/>
      <c r="E113" s="635"/>
      <c r="F113" s="635"/>
      <c r="G113" s="635"/>
      <c r="H113" s="635"/>
      <c r="I113" s="635"/>
      <c r="J113" s="635"/>
      <c r="K113" s="635"/>
      <c r="L113" s="635"/>
      <c r="M113" s="635"/>
      <c r="N113" s="635"/>
      <c r="O113" s="635"/>
      <c r="P113" s="635"/>
      <c r="Q113" s="635"/>
      <c r="R113" s="635"/>
      <c r="S113" s="635"/>
      <c r="T113" s="635"/>
      <c r="U113" s="635"/>
      <c r="V113" s="635"/>
      <c r="W113" s="635"/>
      <c r="X113" s="635">
        <v>1906</v>
      </c>
      <c r="Y113" s="635"/>
      <c r="Z113" s="635"/>
      <c r="AA113" s="635"/>
      <c r="AB113" s="635"/>
      <c r="AC113" s="635"/>
      <c r="AD113" s="635"/>
      <c r="AE113" s="635"/>
      <c r="AF113" s="635"/>
      <c r="AG113" s="625">
        <f t="shared" si="13"/>
        <v>1906</v>
      </c>
      <c r="AH113" s="629"/>
    </row>
    <row r="114" spans="1:34" ht="18" customHeight="1">
      <c r="A114" s="634" t="s">
        <v>772</v>
      </c>
      <c r="B114" s="639" t="s">
        <v>773</v>
      </c>
      <c r="C114" s="635"/>
      <c r="D114" s="635"/>
      <c r="E114" s="635"/>
      <c r="F114" s="635"/>
      <c r="G114" s="635"/>
      <c r="H114" s="635"/>
      <c r="I114" s="635"/>
      <c r="J114" s="635"/>
      <c r="K114" s="635"/>
      <c r="L114" s="635"/>
      <c r="M114" s="635"/>
      <c r="N114" s="635"/>
      <c r="O114" s="635"/>
      <c r="P114" s="635"/>
      <c r="Q114" s="635"/>
      <c r="R114" s="635"/>
      <c r="S114" s="635"/>
      <c r="T114" s="635"/>
      <c r="U114" s="635"/>
      <c r="V114" s="635"/>
      <c r="W114" s="635"/>
      <c r="X114" s="635">
        <v>6745</v>
      </c>
      <c r="Y114" s="635"/>
      <c r="Z114" s="635"/>
      <c r="AA114" s="635"/>
      <c r="AB114" s="635"/>
      <c r="AC114" s="635"/>
      <c r="AD114" s="635"/>
      <c r="AE114" s="635"/>
      <c r="AF114" s="635"/>
      <c r="AG114" s="625">
        <f t="shared" si="13"/>
        <v>6745</v>
      </c>
      <c r="AH114" s="629"/>
    </row>
    <row r="115" spans="1:34" ht="18" customHeight="1">
      <c r="A115" s="634" t="s">
        <v>774</v>
      </c>
      <c r="B115" s="639" t="s">
        <v>775</v>
      </c>
      <c r="C115" s="635"/>
      <c r="D115" s="635"/>
      <c r="E115" s="635"/>
      <c r="F115" s="635"/>
      <c r="G115" s="635"/>
      <c r="H115" s="635"/>
      <c r="I115" s="635"/>
      <c r="J115" s="635"/>
      <c r="K115" s="635"/>
      <c r="L115" s="635"/>
      <c r="M115" s="635"/>
      <c r="N115" s="635"/>
      <c r="O115" s="635"/>
      <c r="P115" s="635"/>
      <c r="Q115" s="635"/>
      <c r="R115" s="635"/>
      <c r="S115" s="635"/>
      <c r="T115" s="635"/>
      <c r="U115" s="635"/>
      <c r="V115" s="635"/>
      <c r="W115" s="635"/>
      <c r="X115" s="635">
        <v>5572</v>
      </c>
      <c r="Y115" s="635"/>
      <c r="Z115" s="635"/>
      <c r="AA115" s="635"/>
      <c r="AB115" s="635"/>
      <c r="AC115" s="635"/>
      <c r="AD115" s="635"/>
      <c r="AE115" s="635"/>
      <c r="AF115" s="635"/>
      <c r="AG115" s="625">
        <f t="shared" si="13"/>
        <v>5572</v>
      </c>
      <c r="AH115" s="629"/>
    </row>
    <row r="116" spans="1:34" ht="18" customHeight="1">
      <c r="A116" s="634" t="s">
        <v>776</v>
      </c>
      <c r="B116" s="639" t="s">
        <v>777</v>
      </c>
      <c r="C116" s="635"/>
      <c r="D116" s="635"/>
      <c r="E116" s="635"/>
      <c r="F116" s="635"/>
      <c r="G116" s="635"/>
      <c r="H116" s="635"/>
      <c r="I116" s="635"/>
      <c r="J116" s="635"/>
      <c r="K116" s="635"/>
      <c r="L116" s="635"/>
      <c r="M116" s="635"/>
      <c r="N116" s="635"/>
      <c r="O116" s="635"/>
      <c r="P116" s="635"/>
      <c r="Q116" s="635"/>
      <c r="R116" s="635"/>
      <c r="S116" s="635"/>
      <c r="T116" s="635"/>
      <c r="U116" s="635"/>
      <c r="V116" s="635"/>
      <c r="W116" s="635"/>
      <c r="X116" s="635">
        <v>7771</v>
      </c>
      <c r="Y116" s="635"/>
      <c r="Z116" s="635"/>
      <c r="AA116" s="635"/>
      <c r="AB116" s="635"/>
      <c r="AC116" s="635"/>
      <c r="AD116" s="635"/>
      <c r="AE116" s="635"/>
      <c r="AF116" s="635"/>
      <c r="AG116" s="625">
        <f t="shared" si="13"/>
        <v>7771</v>
      </c>
      <c r="AH116" s="629"/>
    </row>
    <row r="117" spans="1:34" ht="18" customHeight="1">
      <c r="A117" s="634" t="s">
        <v>778</v>
      </c>
      <c r="B117" s="639" t="s">
        <v>779</v>
      </c>
      <c r="C117" s="635"/>
      <c r="D117" s="635"/>
      <c r="E117" s="635"/>
      <c r="F117" s="635"/>
      <c r="G117" s="635"/>
      <c r="H117" s="635"/>
      <c r="I117" s="635"/>
      <c r="J117" s="635"/>
      <c r="K117" s="635"/>
      <c r="L117" s="635"/>
      <c r="M117" s="635"/>
      <c r="N117" s="635"/>
      <c r="O117" s="635"/>
      <c r="P117" s="635"/>
      <c r="Q117" s="635"/>
      <c r="R117" s="635"/>
      <c r="S117" s="635"/>
      <c r="T117" s="635"/>
      <c r="U117" s="635"/>
      <c r="V117" s="635"/>
      <c r="W117" s="635"/>
      <c r="X117" s="635">
        <v>4252</v>
      </c>
      <c r="Y117" s="635"/>
      <c r="Z117" s="635"/>
      <c r="AA117" s="635"/>
      <c r="AB117" s="635"/>
      <c r="AC117" s="635"/>
      <c r="AD117" s="635"/>
      <c r="AE117" s="635"/>
      <c r="AF117" s="635"/>
      <c r="AG117" s="625">
        <f t="shared" si="13"/>
        <v>4252</v>
      </c>
      <c r="AH117" s="629"/>
    </row>
    <row r="118" spans="1:34" ht="18" customHeight="1">
      <c r="A118" s="634" t="s">
        <v>780</v>
      </c>
      <c r="B118" s="653" t="s">
        <v>665</v>
      </c>
      <c r="C118" s="635"/>
      <c r="D118" s="635"/>
      <c r="E118" s="635"/>
      <c r="F118" s="635"/>
      <c r="G118" s="635"/>
      <c r="H118" s="635"/>
      <c r="I118" s="635"/>
      <c r="J118" s="635"/>
      <c r="K118" s="635"/>
      <c r="L118" s="635"/>
      <c r="M118" s="635"/>
      <c r="N118" s="635"/>
      <c r="O118" s="635"/>
      <c r="P118" s="635"/>
      <c r="Q118" s="635"/>
      <c r="R118" s="635"/>
      <c r="S118" s="635"/>
      <c r="T118" s="635"/>
      <c r="U118" s="635"/>
      <c r="V118" s="635"/>
      <c r="W118" s="635"/>
      <c r="X118" s="635">
        <v>12169</v>
      </c>
      <c r="Y118" s="635"/>
      <c r="Z118" s="635"/>
      <c r="AA118" s="635"/>
      <c r="AB118" s="635"/>
      <c r="AC118" s="635"/>
      <c r="AD118" s="635"/>
      <c r="AE118" s="635"/>
      <c r="AF118" s="635"/>
      <c r="AG118" s="625">
        <f t="shared" si="13"/>
        <v>12169</v>
      </c>
      <c r="AH118" s="629"/>
    </row>
    <row r="119" spans="1:34" ht="18" customHeight="1">
      <c r="A119" s="634" t="s">
        <v>781</v>
      </c>
      <c r="B119" s="639" t="s">
        <v>782</v>
      </c>
      <c r="C119" s="635"/>
      <c r="D119" s="635"/>
      <c r="E119" s="635"/>
      <c r="F119" s="635"/>
      <c r="G119" s="635"/>
      <c r="H119" s="635"/>
      <c r="I119" s="635"/>
      <c r="J119" s="635"/>
      <c r="K119" s="635"/>
      <c r="L119" s="635"/>
      <c r="M119" s="635"/>
      <c r="N119" s="635"/>
      <c r="O119" s="635"/>
      <c r="P119" s="635"/>
      <c r="Q119" s="635"/>
      <c r="R119" s="635"/>
      <c r="S119" s="635"/>
      <c r="T119" s="635"/>
      <c r="U119" s="635"/>
      <c r="V119" s="635"/>
      <c r="W119" s="635"/>
      <c r="X119" s="635">
        <v>8064</v>
      </c>
      <c r="Y119" s="635"/>
      <c r="Z119" s="635"/>
      <c r="AA119" s="635"/>
      <c r="AB119" s="635"/>
      <c r="AC119" s="635"/>
      <c r="AD119" s="635"/>
      <c r="AE119" s="635"/>
      <c r="AF119" s="635"/>
      <c r="AG119" s="625">
        <f t="shared" si="13"/>
        <v>8064</v>
      </c>
      <c r="AH119" s="629"/>
    </row>
    <row r="120" spans="1:34" ht="18" customHeight="1">
      <c r="A120" s="634" t="s">
        <v>783</v>
      </c>
      <c r="B120" s="639" t="s">
        <v>784</v>
      </c>
      <c r="C120" s="635"/>
      <c r="D120" s="635"/>
      <c r="E120" s="635"/>
      <c r="F120" s="635"/>
      <c r="G120" s="635"/>
      <c r="H120" s="635"/>
      <c r="I120" s="635"/>
      <c r="J120" s="635"/>
      <c r="K120" s="635"/>
      <c r="L120" s="635"/>
      <c r="M120" s="635"/>
      <c r="N120" s="635"/>
      <c r="O120" s="635"/>
      <c r="P120" s="635"/>
      <c r="Q120" s="635"/>
      <c r="R120" s="635"/>
      <c r="S120" s="635"/>
      <c r="T120" s="635"/>
      <c r="U120" s="635"/>
      <c r="V120" s="635"/>
      <c r="W120" s="635"/>
      <c r="X120" s="635">
        <v>8944</v>
      </c>
      <c r="Y120" s="635"/>
      <c r="Z120" s="635"/>
      <c r="AA120" s="635"/>
      <c r="AB120" s="635"/>
      <c r="AC120" s="635"/>
      <c r="AD120" s="635"/>
      <c r="AE120" s="635"/>
      <c r="AF120" s="635"/>
      <c r="AG120" s="625">
        <f t="shared" si="13"/>
        <v>8944</v>
      </c>
      <c r="AH120" s="629"/>
    </row>
    <row r="121" spans="1:34" ht="18" customHeight="1">
      <c r="A121" s="634" t="s">
        <v>785</v>
      </c>
      <c r="B121" s="639" t="s">
        <v>786</v>
      </c>
      <c r="C121" s="635"/>
      <c r="D121" s="635"/>
      <c r="E121" s="635"/>
      <c r="F121" s="635"/>
      <c r="G121" s="635"/>
      <c r="H121" s="635"/>
      <c r="I121" s="635"/>
      <c r="J121" s="635"/>
      <c r="K121" s="635"/>
      <c r="L121" s="635"/>
      <c r="M121" s="635"/>
      <c r="N121" s="635"/>
      <c r="O121" s="635"/>
      <c r="P121" s="635"/>
      <c r="Q121" s="635"/>
      <c r="R121" s="635"/>
      <c r="S121" s="635"/>
      <c r="T121" s="635"/>
      <c r="U121" s="635"/>
      <c r="V121" s="635"/>
      <c r="W121" s="635"/>
      <c r="X121" s="635">
        <v>8357</v>
      </c>
      <c r="Y121" s="635"/>
      <c r="Z121" s="635"/>
      <c r="AA121" s="635"/>
      <c r="AB121" s="635"/>
      <c r="AC121" s="635"/>
      <c r="AD121" s="635"/>
      <c r="AE121" s="635"/>
      <c r="AF121" s="635"/>
      <c r="AG121" s="625">
        <f t="shared" si="13"/>
        <v>8357</v>
      </c>
      <c r="AH121" s="629"/>
    </row>
    <row r="122" spans="1:34" ht="18" customHeight="1">
      <c r="A122" s="634" t="s">
        <v>787</v>
      </c>
      <c r="B122" s="639" t="s">
        <v>788</v>
      </c>
      <c r="C122" s="635"/>
      <c r="D122" s="635"/>
      <c r="E122" s="635"/>
      <c r="F122" s="635"/>
      <c r="G122" s="635"/>
      <c r="H122" s="635"/>
      <c r="I122" s="635"/>
      <c r="J122" s="635"/>
      <c r="K122" s="635"/>
      <c r="L122" s="635"/>
      <c r="M122" s="635"/>
      <c r="N122" s="635"/>
      <c r="O122" s="635"/>
      <c r="P122" s="635"/>
      <c r="Q122" s="635"/>
      <c r="R122" s="635"/>
      <c r="S122" s="635"/>
      <c r="T122" s="635"/>
      <c r="U122" s="635"/>
      <c r="V122" s="635"/>
      <c r="W122" s="635"/>
      <c r="X122" s="635">
        <v>9237</v>
      </c>
      <c r="Y122" s="635"/>
      <c r="Z122" s="635"/>
      <c r="AA122" s="635"/>
      <c r="AB122" s="635"/>
      <c r="AC122" s="635"/>
      <c r="AD122" s="635"/>
      <c r="AE122" s="635"/>
      <c r="AF122" s="635"/>
      <c r="AG122" s="625">
        <f t="shared" si="13"/>
        <v>9237</v>
      </c>
      <c r="AH122" s="629"/>
    </row>
    <row r="123" spans="1:34" ht="18" customHeight="1">
      <c r="A123" s="634" t="s">
        <v>789</v>
      </c>
      <c r="B123" s="639" t="s">
        <v>790</v>
      </c>
      <c r="C123" s="635"/>
      <c r="D123" s="635"/>
      <c r="E123" s="635"/>
      <c r="F123" s="635"/>
      <c r="G123" s="635"/>
      <c r="H123" s="635"/>
      <c r="I123" s="635"/>
      <c r="J123" s="635"/>
      <c r="K123" s="635"/>
      <c r="L123" s="635"/>
      <c r="M123" s="635"/>
      <c r="N123" s="635"/>
      <c r="O123" s="635"/>
      <c r="P123" s="635"/>
      <c r="Q123" s="635"/>
      <c r="R123" s="635"/>
      <c r="S123" s="635"/>
      <c r="T123" s="635"/>
      <c r="U123" s="635"/>
      <c r="V123" s="635"/>
      <c r="W123" s="635"/>
      <c r="X123" s="635">
        <v>5132</v>
      </c>
      <c r="Y123" s="635"/>
      <c r="Z123" s="635"/>
      <c r="AA123" s="635"/>
      <c r="AB123" s="635"/>
      <c r="AC123" s="635"/>
      <c r="AD123" s="635"/>
      <c r="AE123" s="635"/>
      <c r="AF123" s="635"/>
      <c r="AG123" s="625">
        <f t="shared" si="13"/>
        <v>5132</v>
      </c>
      <c r="AH123" s="629"/>
    </row>
    <row r="124" spans="1:34" ht="18" customHeight="1">
      <c r="A124" s="634" t="s">
        <v>791</v>
      </c>
      <c r="B124" s="639" t="s">
        <v>792</v>
      </c>
      <c r="C124" s="635"/>
      <c r="D124" s="635"/>
      <c r="E124" s="635"/>
      <c r="F124" s="635"/>
      <c r="G124" s="635"/>
      <c r="H124" s="635"/>
      <c r="I124" s="635"/>
      <c r="J124" s="635"/>
      <c r="K124" s="635"/>
      <c r="L124" s="635"/>
      <c r="M124" s="635"/>
      <c r="N124" s="635"/>
      <c r="O124" s="635"/>
      <c r="P124" s="635"/>
      <c r="Q124" s="635"/>
      <c r="R124" s="635"/>
      <c r="S124" s="635"/>
      <c r="T124" s="635"/>
      <c r="U124" s="635"/>
      <c r="V124" s="635"/>
      <c r="W124" s="635"/>
      <c r="X124" s="635">
        <v>4838</v>
      </c>
      <c r="Y124" s="635"/>
      <c r="Z124" s="635"/>
      <c r="AA124" s="635"/>
      <c r="AB124" s="635"/>
      <c r="AC124" s="635"/>
      <c r="AD124" s="635"/>
      <c r="AE124" s="635"/>
      <c r="AF124" s="635"/>
      <c r="AG124" s="625">
        <f t="shared" si="13"/>
        <v>4838</v>
      </c>
      <c r="AH124" s="629"/>
    </row>
    <row r="125" spans="1:34" ht="18" customHeight="1">
      <c r="A125" s="634" t="s">
        <v>793</v>
      </c>
      <c r="B125" s="639" t="s">
        <v>794</v>
      </c>
      <c r="C125" s="635"/>
      <c r="D125" s="635"/>
      <c r="E125" s="635"/>
      <c r="F125" s="635"/>
      <c r="G125" s="635"/>
      <c r="H125" s="635"/>
      <c r="I125" s="635"/>
      <c r="J125" s="635"/>
      <c r="K125" s="635"/>
      <c r="L125" s="635"/>
      <c r="M125" s="635"/>
      <c r="N125" s="635"/>
      <c r="O125" s="635"/>
      <c r="P125" s="635"/>
      <c r="Q125" s="635"/>
      <c r="R125" s="635"/>
      <c r="S125" s="635"/>
      <c r="T125" s="635"/>
      <c r="U125" s="635"/>
      <c r="V125" s="635"/>
      <c r="W125" s="635"/>
      <c r="X125" s="635">
        <v>3226</v>
      </c>
      <c r="Y125" s="635"/>
      <c r="Z125" s="635"/>
      <c r="AA125" s="635"/>
      <c r="AB125" s="635"/>
      <c r="AC125" s="635"/>
      <c r="AD125" s="635"/>
      <c r="AE125" s="635"/>
      <c r="AF125" s="635"/>
      <c r="AG125" s="625">
        <f t="shared" si="13"/>
        <v>3226</v>
      </c>
      <c r="AH125" s="629"/>
    </row>
    <row r="126" spans="1:34" ht="18" customHeight="1">
      <c r="A126" s="634" t="s">
        <v>795</v>
      </c>
      <c r="B126" s="639" t="s">
        <v>693</v>
      </c>
      <c r="C126" s="635"/>
      <c r="D126" s="635"/>
      <c r="E126" s="635"/>
      <c r="F126" s="635"/>
      <c r="G126" s="635"/>
      <c r="H126" s="635"/>
      <c r="I126" s="635"/>
      <c r="J126" s="635"/>
      <c r="K126" s="635"/>
      <c r="L126" s="635"/>
      <c r="M126" s="635"/>
      <c r="N126" s="635"/>
      <c r="O126" s="635"/>
      <c r="P126" s="635"/>
      <c r="Q126" s="635"/>
      <c r="R126" s="635"/>
      <c r="S126" s="635"/>
      <c r="T126" s="635"/>
      <c r="U126" s="635"/>
      <c r="V126" s="635"/>
      <c r="W126" s="635"/>
      <c r="X126" s="635">
        <v>6307</v>
      </c>
      <c r="Y126" s="635"/>
      <c r="Z126" s="635"/>
      <c r="AA126" s="635"/>
      <c r="AB126" s="635"/>
      <c r="AC126" s="635"/>
      <c r="AD126" s="635"/>
      <c r="AE126" s="635"/>
      <c r="AF126" s="635"/>
      <c r="AG126" s="625">
        <f t="shared" si="13"/>
        <v>6307</v>
      </c>
      <c r="AH126" s="629"/>
    </row>
    <row r="127" spans="1:34" ht="18" customHeight="1">
      <c r="A127" s="634" t="s">
        <v>796</v>
      </c>
      <c r="B127" s="639" t="s">
        <v>700</v>
      </c>
      <c r="C127" s="635"/>
      <c r="D127" s="635"/>
      <c r="E127" s="635"/>
      <c r="F127" s="635"/>
      <c r="G127" s="635"/>
      <c r="H127" s="635"/>
      <c r="I127" s="635"/>
      <c r="J127" s="635"/>
      <c r="K127" s="635"/>
      <c r="L127" s="635"/>
      <c r="M127" s="635"/>
      <c r="N127" s="635"/>
      <c r="O127" s="635"/>
      <c r="P127" s="635"/>
      <c r="Q127" s="635"/>
      <c r="R127" s="635"/>
      <c r="S127" s="635"/>
      <c r="T127" s="635"/>
      <c r="U127" s="635"/>
      <c r="V127" s="635"/>
      <c r="W127" s="635"/>
      <c r="X127" s="635">
        <v>3959</v>
      </c>
      <c r="Y127" s="635"/>
      <c r="Z127" s="635"/>
      <c r="AA127" s="635"/>
      <c r="AB127" s="635"/>
      <c r="AC127" s="635"/>
      <c r="AD127" s="635"/>
      <c r="AE127" s="635"/>
      <c r="AF127" s="635"/>
      <c r="AG127" s="625">
        <f t="shared" si="13"/>
        <v>3959</v>
      </c>
      <c r="AH127" s="629"/>
    </row>
    <row r="128" spans="1:34" ht="18" customHeight="1">
      <c r="A128" s="634" t="s">
        <v>797</v>
      </c>
      <c r="B128" s="639" t="s">
        <v>798</v>
      </c>
      <c r="C128" s="635"/>
      <c r="D128" s="635"/>
      <c r="E128" s="635"/>
      <c r="F128" s="635"/>
      <c r="G128" s="635"/>
      <c r="H128" s="635"/>
      <c r="I128" s="635"/>
      <c r="J128" s="635"/>
      <c r="K128" s="635"/>
      <c r="L128" s="635"/>
      <c r="M128" s="635"/>
      <c r="N128" s="635"/>
      <c r="O128" s="635"/>
      <c r="P128" s="635"/>
      <c r="Q128" s="635"/>
      <c r="R128" s="635"/>
      <c r="S128" s="635"/>
      <c r="T128" s="635"/>
      <c r="U128" s="635"/>
      <c r="V128" s="635"/>
      <c r="W128" s="635"/>
      <c r="X128" s="635">
        <v>10557</v>
      </c>
      <c r="Y128" s="635"/>
      <c r="Z128" s="635"/>
      <c r="AA128" s="635"/>
      <c r="AB128" s="635"/>
      <c r="AC128" s="635"/>
      <c r="AD128" s="635"/>
      <c r="AE128" s="635"/>
      <c r="AF128" s="635"/>
      <c r="AG128" s="625">
        <f t="shared" si="13"/>
        <v>10557</v>
      </c>
      <c r="AH128" s="629"/>
    </row>
    <row r="129" spans="1:34" ht="18" customHeight="1">
      <c r="A129" s="634" t="s">
        <v>799</v>
      </c>
      <c r="B129" s="639" t="s">
        <v>697</v>
      </c>
      <c r="C129" s="635"/>
      <c r="D129" s="635"/>
      <c r="E129" s="635"/>
      <c r="F129" s="635"/>
      <c r="G129" s="635"/>
      <c r="H129" s="635"/>
      <c r="I129" s="635"/>
      <c r="J129" s="635"/>
      <c r="K129" s="635"/>
      <c r="L129" s="635"/>
      <c r="M129" s="635"/>
      <c r="N129" s="635"/>
      <c r="O129" s="635"/>
      <c r="P129" s="635"/>
      <c r="Q129" s="635"/>
      <c r="R129" s="635"/>
      <c r="S129" s="635"/>
      <c r="T129" s="635"/>
      <c r="U129" s="635"/>
      <c r="V129" s="635"/>
      <c r="W129" s="635"/>
      <c r="X129" s="635">
        <v>5132</v>
      </c>
      <c r="Y129" s="635"/>
      <c r="Z129" s="635"/>
      <c r="AA129" s="635"/>
      <c r="AB129" s="635"/>
      <c r="AC129" s="635"/>
      <c r="AD129" s="635"/>
      <c r="AE129" s="635"/>
      <c r="AF129" s="635"/>
      <c r="AG129" s="625">
        <f t="shared" si="13"/>
        <v>5132</v>
      </c>
      <c r="AH129" s="629"/>
    </row>
    <row r="130" spans="1:34" ht="18" customHeight="1">
      <c r="A130" s="634" t="s">
        <v>800</v>
      </c>
      <c r="B130" s="657" t="s">
        <v>133</v>
      </c>
      <c r="C130" s="635"/>
      <c r="D130" s="635"/>
      <c r="E130" s="635"/>
      <c r="F130" s="635"/>
      <c r="G130" s="635"/>
      <c r="H130" s="635"/>
      <c r="I130" s="635"/>
      <c r="J130" s="635"/>
      <c r="K130" s="635"/>
      <c r="L130" s="635"/>
      <c r="M130" s="635"/>
      <c r="N130" s="635"/>
      <c r="O130" s="635"/>
      <c r="P130" s="635"/>
      <c r="Q130" s="635"/>
      <c r="R130" s="635"/>
      <c r="S130" s="635"/>
      <c r="T130" s="635"/>
      <c r="U130" s="635"/>
      <c r="V130" s="635"/>
      <c r="W130" s="635"/>
      <c r="X130" s="635">
        <v>2053</v>
      </c>
      <c r="Y130" s="635"/>
      <c r="Z130" s="635"/>
      <c r="AA130" s="635"/>
      <c r="AB130" s="635"/>
      <c r="AC130" s="635"/>
      <c r="AD130" s="635"/>
      <c r="AE130" s="635"/>
      <c r="AF130" s="635"/>
      <c r="AG130" s="625">
        <f t="shared" si="13"/>
        <v>2053</v>
      </c>
      <c r="AH130" s="629"/>
    </row>
    <row r="131" spans="1:34" ht="18" customHeight="1">
      <c r="A131" s="634" t="s">
        <v>801</v>
      </c>
      <c r="B131" s="658" t="s">
        <v>134</v>
      </c>
      <c r="C131" s="635"/>
      <c r="D131" s="635"/>
      <c r="E131" s="635"/>
      <c r="F131" s="635"/>
      <c r="G131" s="635"/>
      <c r="H131" s="635"/>
      <c r="I131" s="635"/>
      <c r="J131" s="635"/>
      <c r="K131" s="635"/>
      <c r="L131" s="635"/>
      <c r="M131" s="635"/>
      <c r="N131" s="635"/>
      <c r="O131" s="635"/>
      <c r="P131" s="635"/>
      <c r="Q131" s="635"/>
      <c r="R131" s="635"/>
      <c r="S131" s="635"/>
      <c r="T131" s="635"/>
      <c r="U131" s="635"/>
      <c r="V131" s="635"/>
      <c r="W131" s="635"/>
      <c r="X131" s="635">
        <v>3226</v>
      </c>
      <c r="Y131" s="635"/>
      <c r="Z131" s="635"/>
      <c r="AA131" s="635"/>
      <c r="AB131" s="635"/>
      <c r="AC131" s="635"/>
      <c r="AD131" s="635"/>
      <c r="AE131" s="635"/>
      <c r="AF131" s="635"/>
      <c r="AG131" s="625">
        <f t="shared" si="13"/>
        <v>3226</v>
      </c>
      <c r="AH131" s="629"/>
    </row>
    <row r="132" spans="1:34" ht="18" customHeight="1">
      <c r="A132" s="634" t="s">
        <v>802</v>
      </c>
      <c r="B132" s="653" t="s">
        <v>699</v>
      </c>
      <c r="C132" s="635"/>
      <c r="D132" s="635"/>
      <c r="E132" s="635"/>
      <c r="F132" s="635"/>
      <c r="G132" s="635"/>
      <c r="H132" s="635"/>
      <c r="I132" s="635"/>
      <c r="J132" s="635"/>
      <c r="K132" s="635"/>
      <c r="L132" s="635"/>
      <c r="M132" s="635"/>
      <c r="N132" s="635"/>
      <c r="O132" s="635"/>
      <c r="P132" s="635"/>
      <c r="Q132" s="635"/>
      <c r="R132" s="635"/>
      <c r="S132" s="635"/>
      <c r="T132" s="635"/>
      <c r="U132" s="635"/>
      <c r="V132" s="635"/>
      <c r="W132" s="635"/>
      <c r="X132" s="635">
        <v>8211</v>
      </c>
      <c r="Y132" s="635"/>
      <c r="Z132" s="635"/>
      <c r="AA132" s="635"/>
      <c r="AB132" s="635"/>
      <c r="AC132" s="635"/>
      <c r="AD132" s="635"/>
      <c r="AE132" s="635"/>
      <c r="AF132" s="635"/>
      <c r="AG132" s="625">
        <f t="shared" si="13"/>
        <v>8211</v>
      </c>
      <c r="AH132" s="629"/>
    </row>
    <row r="133" spans="1:34" ht="25.5">
      <c r="A133" s="634" t="s">
        <v>803</v>
      </c>
      <c r="B133" s="659" t="s">
        <v>701</v>
      </c>
      <c r="C133" s="635"/>
      <c r="D133" s="635"/>
      <c r="E133" s="635"/>
      <c r="F133" s="635"/>
      <c r="G133" s="635"/>
      <c r="H133" s="635"/>
      <c r="I133" s="635"/>
      <c r="J133" s="635"/>
      <c r="K133" s="635"/>
      <c r="L133" s="635"/>
      <c r="M133" s="635"/>
      <c r="N133" s="635"/>
      <c r="O133" s="635"/>
      <c r="P133" s="635"/>
      <c r="Q133" s="635"/>
      <c r="R133" s="635"/>
      <c r="S133" s="635"/>
      <c r="T133" s="635"/>
      <c r="U133" s="635"/>
      <c r="V133" s="635"/>
      <c r="W133" s="635"/>
      <c r="X133" s="635">
        <v>2493</v>
      </c>
      <c r="Y133" s="635"/>
      <c r="Z133" s="635"/>
      <c r="AA133" s="635"/>
      <c r="AB133" s="635"/>
      <c r="AC133" s="635"/>
      <c r="AD133" s="635"/>
      <c r="AE133" s="635"/>
      <c r="AF133" s="635"/>
      <c r="AG133" s="625">
        <f t="shared" si="13"/>
        <v>2493</v>
      </c>
      <c r="AH133" s="629"/>
    </row>
    <row r="134" spans="1:34" ht="18" customHeight="1" thickBot="1">
      <c r="A134" s="634" t="s">
        <v>804</v>
      </c>
      <c r="B134" s="660" t="s">
        <v>698</v>
      </c>
      <c r="C134" s="635"/>
      <c r="D134" s="635"/>
      <c r="E134" s="635"/>
      <c r="F134" s="635"/>
      <c r="G134" s="635"/>
      <c r="H134" s="635"/>
      <c r="I134" s="635"/>
      <c r="J134" s="635"/>
      <c r="K134" s="635"/>
      <c r="L134" s="635"/>
      <c r="M134" s="635"/>
      <c r="N134" s="635"/>
      <c r="O134" s="635"/>
      <c r="P134" s="635"/>
      <c r="Q134" s="635"/>
      <c r="R134" s="635"/>
      <c r="S134" s="635"/>
      <c r="T134" s="635"/>
      <c r="U134" s="635"/>
      <c r="V134" s="635"/>
      <c r="W134" s="635"/>
      <c r="X134" s="635">
        <v>3519</v>
      </c>
      <c r="Y134" s="635"/>
      <c r="Z134" s="635"/>
      <c r="AA134" s="635"/>
      <c r="AB134" s="635"/>
      <c r="AC134" s="635"/>
      <c r="AD134" s="635"/>
      <c r="AE134" s="635"/>
      <c r="AF134" s="635"/>
      <c r="AG134" s="677">
        <f t="shared" si="13"/>
        <v>3519</v>
      </c>
      <c r="AH134" s="629"/>
    </row>
    <row r="135" spans="1:34" s="606" customFormat="1" ht="32.25" customHeight="1" thickBot="1" thickTop="1">
      <c r="A135" s="661">
        <v>854</v>
      </c>
      <c r="B135" s="662" t="s">
        <v>0</v>
      </c>
      <c r="C135" s="663" t="e">
        <f>#REF!+#REF!+C136+#REF!+#REF!+C145+#REF!+C148+C150+#REF!+C153+#REF!</f>
        <v>#REF!</v>
      </c>
      <c r="D135" s="663" t="e">
        <f>#REF!+#REF!+D136+#REF!+#REF!+D145+#REF!+D148+D150+#REF!+D153+#REF!</f>
        <v>#REF!</v>
      </c>
      <c r="E135" s="663" t="e">
        <f>#REF!+#REF!+E136+#REF!+#REF!+E145+#REF!+#REF!+E148+E150+#REF!+E153+#REF!</f>
        <v>#REF!</v>
      </c>
      <c r="F135" s="663">
        <f>F136+F145+F148+F150+F153</f>
        <v>-200</v>
      </c>
      <c r="G135" s="663"/>
      <c r="H135" s="663"/>
      <c r="I135" s="663"/>
      <c r="J135" s="663"/>
      <c r="K135" s="663" t="e">
        <f>#REF!+#REF!+K136+#REF!+#REF!+K145+#REF!+#REF!+K148+K150+#REF!+K153+#REF!</f>
        <v>#REF!</v>
      </c>
      <c r="L135" s="663" t="e">
        <f>#REF!+#REF!+L136+#REF!+#REF!+L145+#REF!+#REF!+L148+L150+#REF!+L153+#REF!</f>
        <v>#REF!</v>
      </c>
      <c r="M135" s="663">
        <f aca="true" t="shared" si="14" ref="M135:T135">M136+M145+M148+M150+M153</f>
        <v>-1600</v>
      </c>
      <c r="N135" s="663">
        <f t="shared" si="14"/>
        <v>0</v>
      </c>
      <c r="O135" s="663">
        <f t="shared" si="14"/>
        <v>0</v>
      </c>
      <c r="P135" s="663">
        <f t="shared" si="14"/>
        <v>35800</v>
      </c>
      <c r="Q135" s="663">
        <f t="shared" si="14"/>
        <v>14300</v>
      </c>
      <c r="R135" s="663">
        <f t="shared" si="14"/>
        <v>0</v>
      </c>
      <c r="S135" s="663">
        <f t="shared" si="14"/>
        <v>0</v>
      </c>
      <c r="T135" s="663">
        <f t="shared" si="14"/>
        <v>-4600</v>
      </c>
      <c r="U135" s="663" t="e">
        <f>#REF!+#REF!+U136+#REF!+#REF!+U145+#REF!+#REF!+U148+U150+#REF!+U153+#REF!</f>
        <v>#REF!</v>
      </c>
      <c r="V135" s="663" t="e">
        <f>#REF!+#REF!+V136+#REF!+#REF!+V145+#REF!+#REF!+V148+V150+#REF!+V153+#REF!</f>
        <v>#REF!</v>
      </c>
      <c r="W135" s="663" t="e">
        <f>#REF!+#REF!+W136+#REF!+#REF!+W145+#REF!+#REF!+W148+W150+#REF!+W153+#REF!</f>
        <v>#REF!</v>
      </c>
      <c r="X135" s="663">
        <f>X136+X145+X148+X150+X153</f>
        <v>90583</v>
      </c>
      <c r="Y135" s="663">
        <f>Y136+Y145+Y148+Y150+Y153</f>
        <v>2500</v>
      </c>
      <c r="Z135" s="663" t="e">
        <f>#REF!+#REF!+Z136+#REF!+#REF!+Z145+#REF!+#REF!+Z148+Z150+#REF!+Z153+#REF!</f>
        <v>#REF!</v>
      </c>
      <c r="AA135" s="663" t="e">
        <f>#REF!+#REF!+AA136+#REF!+#REF!+AA145+#REF!+#REF!+AA148+AA150+#REF!+AA153+#REF!</f>
        <v>#REF!</v>
      </c>
      <c r="AB135" s="663" t="e">
        <f>#REF!+#REF!+AB136+#REF!+#REF!+AB145+#REF!+#REF!+AB148+AB150+#REF!+AB153+#REF!</f>
        <v>#REF!</v>
      </c>
      <c r="AC135" s="663" t="e">
        <f>#REF!+#REF!+AC136+#REF!+#REF!+AC145+#REF!+#REF!+AC148+AC150+#REF!+AC153+#REF!</f>
        <v>#REF!</v>
      </c>
      <c r="AD135" s="663" t="e">
        <f>#REF!+#REF!+AD136+#REF!+#REF!+AD145+#REF!+#REF!+AD148+AD150+#REF!+AD153+#REF!</f>
        <v>#REF!</v>
      </c>
      <c r="AE135" s="663" t="e">
        <f>#REF!+#REF!+AE136+#REF!+#REF!+AE145+#REF!+#REF!+AE148+AE150+#REF!+AE153+#REF!</f>
        <v>#REF!</v>
      </c>
      <c r="AF135" s="663">
        <f>AF136+AF145+AF148+AF150+AF153</f>
        <v>4300</v>
      </c>
      <c r="AG135" s="682">
        <f>AF135+Y135+X135+T135+Q135+P135+M135+F135</f>
        <v>141083</v>
      </c>
      <c r="AH135" s="629"/>
    </row>
    <row r="136" spans="1:34" s="606" customFormat="1" ht="18" customHeight="1" thickBot="1" thickTop="1">
      <c r="A136" s="664">
        <v>85405</v>
      </c>
      <c r="B136" s="665" t="s">
        <v>135</v>
      </c>
      <c r="C136" s="645" t="e">
        <f>SUM(#REF!)</f>
        <v>#REF!</v>
      </c>
      <c r="D136" s="645" t="e">
        <f>SUM(#REF!)</f>
        <v>#REF!</v>
      </c>
      <c r="E136" s="645" t="e">
        <f>SUM(#REF!)</f>
        <v>#REF!</v>
      </c>
      <c r="F136" s="645">
        <f>SUM(F137:F144)</f>
        <v>-200</v>
      </c>
      <c r="G136" s="645"/>
      <c r="H136" s="645"/>
      <c r="I136" s="645"/>
      <c r="J136" s="645"/>
      <c r="K136" s="645" t="e">
        <f>SUM(#REF!)</f>
        <v>#REF!</v>
      </c>
      <c r="L136" s="645" t="e">
        <f>SUM(#REF!)</f>
        <v>#REF!</v>
      </c>
      <c r="M136" s="645">
        <f aca="true" t="shared" si="15" ref="M136:T136">SUM(M137:M144)</f>
        <v>-2400</v>
      </c>
      <c r="N136" s="645">
        <f t="shared" si="15"/>
        <v>0</v>
      </c>
      <c r="O136" s="645">
        <f t="shared" si="15"/>
        <v>0</v>
      </c>
      <c r="P136" s="645">
        <f t="shared" si="15"/>
        <v>-1000</v>
      </c>
      <c r="Q136" s="645">
        <f t="shared" si="15"/>
        <v>14300</v>
      </c>
      <c r="R136" s="645">
        <f t="shared" si="15"/>
        <v>0</v>
      </c>
      <c r="S136" s="645">
        <f t="shared" si="15"/>
        <v>0</v>
      </c>
      <c r="T136" s="645">
        <f t="shared" si="15"/>
        <v>-5000</v>
      </c>
      <c r="U136" s="645" t="e">
        <f>SUM(#REF!)</f>
        <v>#REF!</v>
      </c>
      <c r="V136" s="645" t="e">
        <f>SUM(#REF!)</f>
        <v>#REF!</v>
      </c>
      <c r="W136" s="645" t="e">
        <f>SUM(#REF!)</f>
        <v>#REF!</v>
      </c>
      <c r="X136" s="645"/>
      <c r="Y136" s="645"/>
      <c r="Z136" s="645" t="e">
        <f>SUM(#REF!)</f>
        <v>#REF!</v>
      </c>
      <c r="AA136" s="645" t="e">
        <f>SUM(#REF!)</f>
        <v>#REF!</v>
      </c>
      <c r="AB136" s="645" t="e">
        <f>SUM(#REF!)</f>
        <v>#REF!</v>
      </c>
      <c r="AC136" s="645" t="e">
        <f>SUM(#REF!)</f>
        <v>#REF!</v>
      </c>
      <c r="AD136" s="645" t="e">
        <f>SUM(#REF!)</f>
        <v>#REF!</v>
      </c>
      <c r="AE136" s="645" t="e">
        <f>SUM(#REF!)</f>
        <v>#REF!</v>
      </c>
      <c r="AF136" s="645">
        <f>SUM(AF137:AF144)</f>
        <v>4300</v>
      </c>
      <c r="AG136" s="680">
        <f>AF136+T136+Q136+P136+M136+F136</f>
        <v>10000</v>
      </c>
      <c r="AH136" s="629"/>
    </row>
    <row r="137" spans="1:34" s="673" customFormat="1" ht="18" customHeight="1">
      <c r="A137" s="674"/>
      <c r="B137" s="658" t="s">
        <v>136</v>
      </c>
      <c r="C137" s="644"/>
      <c r="D137" s="670"/>
      <c r="E137" s="644"/>
      <c r="F137" s="644"/>
      <c r="G137" s="644"/>
      <c r="H137" s="644"/>
      <c r="I137" s="644"/>
      <c r="J137" s="644"/>
      <c r="K137" s="644"/>
      <c r="L137" s="644"/>
      <c r="M137" s="644"/>
      <c r="N137" s="644"/>
      <c r="O137" s="644"/>
      <c r="P137" s="644">
        <v>-1000</v>
      </c>
      <c r="Q137" s="644">
        <v>4500</v>
      </c>
      <c r="R137" s="644"/>
      <c r="S137" s="644"/>
      <c r="T137" s="644">
        <v>-500</v>
      </c>
      <c r="U137" s="644"/>
      <c r="V137" s="644"/>
      <c r="W137" s="644"/>
      <c r="X137" s="644"/>
      <c r="Y137" s="644"/>
      <c r="Z137" s="644"/>
      <c r="AA137" s="644"/>
      <c r="AB137" s="644"/>
      <c r="AC137" s="644"/>
      <c r="AD137" s="644"/>
      <c r="AE137" s="644"/>
      <c r="AF137" s="644"/>
      <c r="AG137" s="625">
        <f aca="true" t="shared" si="16" ref="AG137:AG168">SUM(C137:AF137)-R137</f>
        <v>3000</v>
      </c>
      <c r="AH137" s="638"/>
    </row>
    <row r="138" spans="1:34" s="673" customFormat="1" ht="18" customHeight="1">
      <c r="A138" s="674"/>
      <c r="B138" s="658" t="s">
        <v>137</v>
      </c>
      <c r="C138" s="644"/>
      <c r="D138" s="670"/>
      <c r="E138" s="644"/>
      <c r="F138" s="644"/>
      <c r="G138" s="644"/>
      <c r="H138" s="644"/>
      <c r="I138" s="644"/>
      <c r="J138" s="644"/>
      <c r="K138" s="644"/>
      <c r="L138" s="644"/>
      <c r="M138" s="644">
        <v>-2000</v>
      </c>
      <c r="N138" s="644"/>
      <c r="O138" s="644"/>
      <c r="P138" s="644"/>
      <c r="Q138" s="644">
        <v>9000</v>
      </c>
      <c r="R138" s="644"/>
      <c r="S138" s="644"/>
      <c r="T138" s="644">
        <v>-7000</v>
      </c>
      <c r="U138" s="644"/>
      <c r="V138" s="644"/>
      <c r="W138" s="644"/>
      <c r="X138" s="644"/>
      <c r="Y138" s="644"/>
      <c r="Z138" s="644"/>
      <c r="AA138" s="644"/>
      <c r="AB138" s="644"/>
      <c r="AC138" s="644"/>
      <c r="AD138" s="644"/>
      <c r="AE138" s="644"/>
      <c r="AF138" s="644"/>
      <c r="AG138" s="625">
        <f t="shared" si="16"/>
        <v>0</v>
      </c>
      <c r="AH138" s="638"/>
    </row>
    <row r="139" spans="1:34" s="673" customFormat="1" ht="18" customHeight="1">
      <c r="A139" s="674"/>
      <c r="B139" s="639" t="s">
        <v>138</v>
      </c>
      <c r="C139" s="644"/>
      <c r="D139" s="670"/>
      <c r="E139" s="644"/>
      <c r="F139" s="644">
        <v>-200</v>
      </c>
      <c r="G139" s="644"/>
      <c r="H139" s="644"/>
      <c r="I139" s="644"/>
      <c r="J139" s="644"/>
      <c r="K139" s="644"/>
      <c r="L139" s="644"/>
      <c r="M139" s="644">
        <v>-400</v>
      </c>
      <c r="N139" s="644"/>
      <c r="O139" s="644"/>
      <c r="P139" s="644"/>
      <c r="Q139" s="644">
        <v>-3200</v>
      </c>
      <c r="R139" s="644"/>
      <c r="S139" s="644"/>
      <c r="T139" s="644">
        <v>-500</v>
      </c>
      <c r="U139" s="644"/>
      <c r="V139" s="644"/>
      <c r="W139" s="644"/>
      <c r="X139" s="644"/>
      <c r="Y139" s="644"/>
      <c r="Z139" s="644"/>
      <c r="AA139" s="644"/>
      <c r="AB139" s="644"/>
      <c r="AC139" s="644"/>
      <c r="AD139" s="644"/>
      <c r="AE139" s="644"/>
      <c r="AF139" s="644">
        <v>4300</v>
      </c>
      <c r="AG139" s="625">
        <f t="shared" si="16"/>
        <v>0</v>
      </c>
      <c r="AH139" s="638"/>
    </row>
    <row r="140" spans="1:34" s="673" customFormat="1" ht="18" customHeight="1">
      <c r="A140" s="674"/>
      <c r="B140" s="639" t="s">
        <v>139</v>
      </c>
      <c r="C140" s="644"/>
      <c r="D140" s="670"/>
      <c r="E140" s="644"/>
      <c r="F140" s="644"/>
      <c r="G140" s="644"/>
      <c r="H140" s="644"/>
      <c r="I140" s="644"/>
      <c r="J140" s="644"/>
      <c r="K140" s="644"/>
      <c r="L140" s="644"/>
      <c r="M140" s="644"/>
      <c r="N140" s="644"/>
      <c r="O140" s="644"/>
      <c r="P140" s="644"/>
      <c r="Q140" s="644">
        <v>4000</v>
      </c>
      <c r="R140" s="644"/>
      <c r="S140" s="644"/>
      <c r="T140" s="644">
        <v>5000</v>
      </c>
      <c r="U140" s="644"/>
      <c r="V140" s="644"/>
      <c r="W140" s="644"/>
      <c r="X140" s="644"/>
      <c r="Y140" s="644"/>
      <c r="Z140" s="644"/>
      <c r="AA140" s="644"/>
      <c r="AB140" s="644"/>
      <c r="AC140" s="644"/>
      <c r="AD140" s="644"/>
      <c r="AE140" s="644"/>
      <c r="AF140" s="644"/>
      <c r="AG140" s="625">
        <f t="shared" si="16"/>
        <v>9000</v>
      </c>
      <c r="AH140" s="638"/>
    </row>
    <row r="141" spans="1:34" s="673" customFormat="1" ht="18" customHeight="1">
      <c r="A141" s="674"/>
      <c r="B141" s="639" t="s">
        <v>140</v>
      </c>
      <c r="C141" s="644"/>
      <c r="D141" s="670"/>
      <c r="E141" s="644"/>
      <c r="F141" s="644"/>
      <c r="G141" s="644"/>
      <c r="H141" s="644"/>
      <c r="I141" s="644"/>
      <c r="J141" s="644"/>
      <c r="K141" s="644"/>
      <c r="L141" s="644"/>
      <c r="M141" s="644"/>
      <c r="N141" s="644"/>
      <c r="O141" s="644"/>
      <c r="P141" s="644"/>
      <c r="Q141" s="644"/>
      <c r="R141" s="644"/>
      <c r="S141" s="644"/>
      <c r="T141" s="644">
        <v>1000</v>
      </c>
      <c r="U141" s="644"/>
      <c r="V141" s="644"/>
      <c r="W141" s="644"/>
      <c r="X141" s="644"/>
      <c r="Y141" s="644"/>
      <c r="Z141" s="644"/>
      <c r="AA141" s="644"/>
      <c r="AB141" s="644"/>
      <c r="AC141" s="644"/>
      <c r="AD141" s="644"/>
      <c r="AE141" s="644"/>
      <c r="AF141" s="644"/>
      <c r="AG141" s="625">
        <f t="shared" si="16"/>
        <v>1000</v>
      </c>
      <c r="AH141" s="638"/>
    </row>
    <row r="142" spans="1:34" s="673" customFormat="1" ht="18" customHeight="1">
      <c r="A142" s="674"/>
      <c r="B142" s="639" t="s">
        <v>141</v>
      </c>
      <c r="C142" s="644"/>
      <c r="D142" s="670"/>
      <c r="E142" s="644"/>
      <c r="F142" s="644"/>
      <c r="G142" s="644"/>
      <c r="H142" s="644"/>
      <c r="I142" s="644"/>
      <c r="J142" s="644"/>
      <c r="K142" s="644"/>
      <c r="L142" s="644"/>
      <c r="M142" s="644"/>
      <c r="N142" s="644"/>
      <c r="O142" s="644"/>
      <c r="P142" s="644">
        <v>2500</v>
      </c>
      <c r="Q142" s="644"/>
      <c r="R142" s="644"/>
      <c r="S142" s="644"/>
      <c r="T142" s="644"/>
      <c r="U142" s="644"/>
      <c r="V142" s="644"/>
      <c r="W142" s="644"/>
      <c r="X142" s="644"/>
      <c r="Y142" s="644"/>
      <c r="Z142" s="644"/>
      <c r="AA142" s="644"/>
      <c r="AB142" s="644"/>
      <c r="AC142" s="644"/>
      <c r="AD142" s="644"/>
      <c r="AE142" s="644"/>
      <c r="AF142" s="644"/>
      <c r="AG142" s="625">
        <f t="shared" si="16"/>
        <v>2500</v>
      </c>
      <c r="AH142" s="638"/>
    </row>
    <row r="143" spans="1:34" s="673" customFormat="1" ht="18" customHeight="1">
      <c r="A143" s="674"/>
      <c r="B143" s="658" t="s">
        <v>142</v>
      </c>
      <c r="C143" s="644"/>
      <c r="D143" s="670"/>
      <c r="E143" s="644"/>
      <c r="F143" s="644"/>
      <c r="G143" s="644"/>
      <c r="H143" s="644"/>
      <c r="I143" s="644"/>
      <c r="J143" s="644"/>
      <c r="K143" s="644"/>
      <c r="L143" s="644"/>
      <c r="M143" s="644"/>
      <c r="N143" s="644"/>
      <c r="O143" s="644"/>
      <c r="P143" s="644">
        <v>-2500</v>
      </c>
      <c r="Q143" s="644"/>
      <c r="R143" s="644"/>
      <c r="S143" s="644"/>
      <c r="T143" s="644"/>
      <c r="U143" s="644"/>
      <c r="V143" s="644"/>
      <c r="W143" s="644"/>
      <c r="X143" s="644"/>
      <c r="Y143" s="644"/>
      <c r="Z143" s="644"/>
      <c r="AA143" s="644"/>
      <c r="AB143" s="644"/>
      <c r="AC143" s="644"/>
      <c r="AD143" s="644"/>
      <c r="AE143" s="644"/>
      <c r="AF143" s="644"/>
      <c r="AG143" s="625">
        <f t="shared" si="16"/>
        <v>-2500</v>
      </c>
      <c r="AH143" s="638"/>
    </row>
    <row r="144" spans="1:34" s="673" customFormat="1" ht="18" customHeight="1" thickBot="1">
      <c r="A144" s="674"/>
      <c r="B144" s="658" t="s">
        <v>143</v>
      </c>
      <c r="C144" s="644"/>
      <c r="D144" s="670"/>
      <c r="E144" s="644"/>
      <c r="F144" s="644"/>
      <c r="G144" s="644"/>
      <c r="H144" s="644"/>
      <c r="I144" s="644"/>
      <c r="J144" s="644"/>
      <c r="K144" s="644"/>
      <c r="L144" s="644"/>
      <c r="M144" s="644"/>
      <c r="N144" s="644"/>
      <c r="O144" s="644"/>
      <c r="P144" s="644"/>
      <c r="Q144" s="644"/>
      <c r="R144" s="644"/>
      <c r="S144" s="644"/>
      <c r="T144" s="644">
        <v>-3000</v>
      </c>
      <c r="U144" s="644"/>
      <c r="V144" s="644"/>
      <c r="W144" s="644"/>
      <c r="X144" s="644"/>
      <c r="Y144" s="644"/>
      <c r="Z144" s="644"/>
      <c r="AA144" s="644"/>
      <c r="AB144" s="644"/>
      <c r="AC144" s="644"/>
      <c r="AD144" s="644"/>
      <c r="AE144" s="644"/>
      <c r="AF144" s="644"/>
      <c r="AG144" s="625">
        <f t="shared" si="16"/>
        <v>-3000</v>
      </c>
      <c r="AH144" s="638"/>
    </row>
    <row r="145" spans="1:34" ht="18" customHeight="1" thickBot="1">
      <c r="A145" s="664">
        <v>85410</v>
      </c>
      <c r="B145" s="665" t="s">
        <v>8</v>
      </c>
      <c r="C145" s="645">
        <f>SUM(C146:C147)</f>
        <v>0</v>
      </c>
      <c r="D145" s="645">
        <f>SUM(D146:D147)</f>
        <v>0</v>
      </c>
      <c r="E145" s="645">
        <f>SUM(E146:E147)</f>
        <v>0</v>
      </c>
      <c r="F145" s="645"/>
      <c r="G145" s="645"/>
      <c r="H145" s="645"/>
      <c r="I145" s="645"/>
      <c r="J145" s="645"/>
      <c r="K145" s="645">
        <f>SUM(K146:K147)</f>
        <v>0</v>
      </c>
      <c r="L145" s="645">
        <f>SUM(L146:L147)</f>
        <v>0</v>
      </c>
      <c r="M145" s="645"/>
      <c r="N145" s="645">
        <f>SUM(N146:N147)</f>
        <v>0</v>
      </c>
      <c r="O145" s="645">
        <f>SUM(O146:O147)</f>
        <v>0</v>
      </c>
      <c r="P145" s="645">
        <f>SUM(P146:P147)</f>
        <v>30000</v>
      </c>
      <c r="Q145" s="645"/>
      <c r="R145" s="645">
        <f>SUM(R146:R147)</f>
        <v>0</v>
      </c>
      <c r="S145" s="645">
        <f>SUM(S146:S147)</f>
        <v>0</v>
      </c>
      <c r="T145" s="645"/>
      <c r="U145" s="645">
        <f>SUM(U146:U147)</f>
        <v>0</v>
      </c>
      <c r="V145" s="645">
        <f>SUM(V146:V147)</f>
        <v>0</v>
      </c>
      <c r="W145" s="645">
        <f>SUM(W146:W147)</f>
        <v>0</v>
      </c>
      <c r="X145" s="645"/>
      <c r="Y145" s="645"/>
      <c r="Z145" s="645">
        <f aca="true" t="shared" si="17" ref="Z145:AE145">SUM(Z146:Z147)</f>
        <v>0</v>
      </c>
      <c r="AA145" s="645">
        <f t="shared" si="17"/>
        <v>0</v>
      </c>
      <c r="AB145" s="645">
        <f t="shared" si="17"/>
        <v>0</v>
      </c>
      <c r="AC145" s="645">
        <f t="shared" si="17"/>
        <v>0</v>
      </c>
      <c r="AD145" s="645">
        <f t="shared" si="17"/>
        <v>0</v>
      </c>
      <c r="AE145" s="645">
        <f t="shared" si="17"/>
        <v>0</v>
      </c>
      <c r="AF145" s="645"/>
      <c r="AG145" s="679">
        <f t="shared" si="16"/>
        <v>30000</v>
      </c>
      <c r="AH145" s="629"/>
    </row>
    <row r="146" spans="1:34" s="570" customFormat="1" ht="18" customHeight="1">
      <c r="A146" s="641" t="s">
        <v>13</v>
      </c>
      <c r="B146" s="633" t="s">
        <v>673</v>
      </c>
      <c r="C146" s="646"/>
      <c r="D146" s="646"/>
      <c r="E146" s="646"/>
      <c r="F146" s="646"/>
      <c r="G146" s="646"/>
      <c r="H146" s="646"/>
      <c r="I146" s="646"/>
      <c r="J146" s="646"/>
      <c r="K146" s="646"/>
      <c r="L146" s="646"/>
      <c r="M146" s="646"/>
      <c r="N146" s="646"/>
      <c r="O146" s="646"/>
      <c r="P146" s="646">
        <v>20000</v>
      </c>
      <c r="Q146" s="646"/>
      <c r="R146" s="646"/>
      <c r="S146" s="646"/>
      <c r="T146" s="646"/>
      <c r="U146" s="646"/>
      <c r="V146" s="646"/>
      <c r="W146" s="646"/>
      <c r="X146" s="646"/>
      <c r="Y146" s="646"/>
      <c r="Z146" s="646"/>
      <c r="AA146" s="646"/>
      <c r="AB146" s="646"/>
      <c r="AC146" s="646"/>
      <c r="AD146" s="646"/>
      <c r="AE146" s="646"/>
      <c r="AF146" s="646"/>
      <c r="AG146" s="625">
        <f t="shared" si="16"/>
        <v>20000</v>
      </c>
      <c r="AH146" s="629"/>
    </row>
    <row r="147" spans="1:34" s="570" customFormat="1" ht="18" customHeight="1" thickBot="1">
      <c r="A147" s="641" t="s">
        <v>14</v>
      </c>
      <c r="B147" s="633" t="s">
        <v>699</v>
      </c>
      <c r="C147" s="646"/>
      <c r="D147" s="646"/>
      <c r="E147" s="646"/>
      <c r="F147" s="646"/>
      <c r="G147" s="646"/>
      <c r="H147" s="646"/>
      <c r="I147" s="646"/>
      <c r="J147" s="646"/>
      <c r="K147" s="646"/>
      <c r="L147" s="646"/>
      <c r="M147" s="646"/>
      <c r="N147" s="646"/>
      <c r="O147" s="646"/>
      <c r="P147" s="646">
        <v>10000</v>
      </c>
      <c r="Q147" s="646"/>
      <c r="R147" s="646"/>
      <c r="S147" s="646"/>
      <c r="T147" s="646"/>
      <c r="U147" s="646"/>
      <c r="V147" s="646"/>
      <c r="W147" s="646"/>
      <c r="X147" s="646"/>
      <c r="Y147" s="646"/>
      <c r="Z147" s="646"/>
      <c r="AA147" s="646"/>
      <c r="AB147" s="646"/>
      <c r="AC147" s="646"/>
      <c r="AD147" s="646"/>
      <c r="AE147" s="646"/>
      <c r="AF147" s="646"/>
      <c r="AG147" s="625">
        <f t="shared" si="16"/>
        <v>10000</v>
      </c>
      <c r="AH147" s="629"/>
    </row>
    <row r="148" spans="1:34" s="570" customFormat="1" ht="18" customHeight="1" thickBot="1">
      <c r="A148" s="643">
        <v>85417</v>
      </c>
      <c r="B148" s="631" t="s">
        <v>15</v>
      </c>
      <c r="C148" s="666">
        <f>SUM(C149:C149)</f>
        <v>0</v>
      </c>
      <c r="D148" s="671">
        <f>SUM(D149:D149)</f>
        <v>0</v>
      </c>
      <c r="E148" s="666">
        <f>SUM(E149:E149)</f>
        <v>0</v>
      </c>
      <c r="F148" s="666"/>
      <c r="G148" s="666"/>
      <c r="H148" s="666"/>
      <c r="I148" s="666"/>
      <c r="J148" s="666"/>
      <c r="K148" s="666">
        <f>SUM(K149:K149)</f>
        <v>0</v>
      </c>
      <c r="L148" s="666">
        <f>SUM(L149:L149)</f>
        <v>0</v>
      </c>
      <c r="M148" s="666"/>
      <c r="N148" s="666">
        <f>SUM(N149:N149)</f>
        <v>0</v>
      </c>
      <c r="O148" s="666">
        <f>SUM(O149:O149)</f>
        <v>0</v>
      </c>
      <c r="P148" s="666">
        <f>SUM(P149:P149)</f>
        <v>5500</v>
      </c>
      <c r="Q148" s="666"/>
      <c r="R148" s="666">
        <f>SUM(R149:R149)</f>
        <v>0</v>
      </c>
      <c r="S148" s="666">
        <f>SUM(S149:S149)</f>
        <v>0</v>
      </c>
      <c r="T148" s="666"/>
      <c r="U148" s="666">
        <f>SUM(U149:U149)</f>
        <v>0</v>
      </c>
      <c r="V148" s="666">
        <f>SUM(V149:V149)</f>
        <v>0</v>
      </c>
      <c r="W148" s="666">
        <f>SUM(W149:W149)</f>
        <v>0</v>
      </c>
      <c r="X148" s="666"/>
      <c r="Y148" s="666">
        <f aca="true" t="shared" si="18" ref="Y148:AE148">SUM(Y149:Y149)</f>
        <v>2500</v>
      </c>
      <c r="Z148" s="666">
        <f t="shared" si="18"/>
        <v>0</v>
      </c>
      <c r="AA148" s="666">
        <f t="shared" si="18"/>
        <v>0</v>
      </c>
      <c r="AB148" s="666">
        <f t="shared" si="18"/>
        <v>0</v>
      </c>
      <c r="AC148" s="666">
        <f t="shared" si="18"/>
        <v>0</v>
      </c>
      <c r="AD148" s="666">
        <f t="shared" si="18"/>
        <v>0</v>
      </c>
      <c r="AE148" s="666">
        <f t="shared" si="18"/>
        <v>0</v>
      </c>
      <c r="AF148" s="666"/>
      <c r="AG148" s="679">
        <f t="shared" si="16"/>
        <v>8000</v>
      </c>
      <c r="AH148" s="629"/>
    </row>
    <row r="149" spans="1:34" s="570" customFormat="1" ht="18" customHeight="1" thickBot="1">
      <c r="A149" s="640" t="s">
        <v>16</v>
      </c>
      <c r="B149" s="642" t="s">
        <v>17</v>
      </c>
      <c r="C149" s="667"/>
      <c r="D149" s="672"/>
      <c r="E149" s="667"/>
      <c r="F149" s="667"/>
      <c r="G149" s="667"/>
      <c r="H149" s="667"/>
      <c r="I149" s="667"/>
      <c r="J149" s="667"/>
      <c r="K149" s="667"/>
      <c r="L149" s="667"/>
      <c r="M149" s="667"/>
      <c r="N149" s="667"/>
      <c r="O149" s="667"/>
      <c r="P149" s="667">
        <v>5500</v>
      </c>
      <c r="Q149" s="667"/>
      <c r="R149" s="667"/>
      <c r="S149" s="667"/>
      <c r="T149" s="667"/>
      <c r="U149" s="667"/>
      <c r="V149" s="667"/>
      <c r="W149" s="667"/>
      <c r="X149" s="667"/>
      <c r="Y149" s="667">
        <v>2500</v>
      </c>
      <c r="Z149" s="667"/>
      <c r="AA149" s="667"/>
      <c r="AB149" s="667"/>
      <c r="AC149" s="667"/>
      <c r="AD149" s="667"/>
      <c r="AE149" s="667"/>
      <c r="AF149" s="667"/>
      <c r="AG149" s="625">
        <f t="shared" si="16"/>
        <v>8000</v>
      </c>
      <c r="AH149" s="629"/>
    </row>
    <row r="150" spans="1:34" s="570" customFormat="1" ht="18" customHeight="1" thickBot="1">
      <c r="A150" s="664">
        <v>85495</v>
      </c>
      <c r="B150" s="665" t="s">
        <v>19</v>
      </c>
      <c r="C150" s="645">
        <f>SUM(C151:C152)</f>
        <v>0</v>
      </c>
      <c r="D150" s="645">
        <f>SUM(D151:D152)</f>
        <v>0</v>
      </c>
      <c r="E150" s="645">
        <f>SUM(E151:E152)</f>
        <v>0</v>
      </c>
      <c r="F150" s="645"/>
      <c r="G150" s="645"/>
      <c r="H150" s="645"/>
      <c r="I150" s="645"/>
      <c r="J150" s="645"/>
      <c r="K150" s="645">
        <f aca="true" t="shared" si="19" ref="K150:P150">SUM(K151:K152)</f>
        <v>0</v>
      </c>
      <c r="L150" s="645">
        <f t="shared" si="19"/>
        <v>0</v>
      </c>
      <c r="M150" s="645">
        <f t="shared" si="19"/>
        <v>800</v>
      </c>
      <c r="N150" s="645">
        <f t="shared" si="19"/>
        <v>0</v>
      </c>
      <c r="O150" s="645">
        <f t="shared" si="19"/>
        <v>0</v>
      </c>
      <c r="P150" s="645">
        <f t="shared" si="19"/>
        <v>1300</v>
      </c>
      <c r="Q150" s="645"/>
      <c r="R150" s="645">
        <f aca="true" t="shared" si="20" ref="R150:W150">SUM(R151:R152)</f>
        <v>0</v>
      </c>
      <c r="S150" s="645">
        <f t="shared" si="20"/>
        <v>0</v>
      </c>
      <c r="T150" s="645">
        <f t="shared" si="20"/>
        <v>400</v>
      </c>
      <c r="U150" s="645">
        <f t="shared" si="20"/>
        <v>0</v>
      </c>
      <c r="V150" s="645">
        <f t="shared" si="20"/>
        <v>0</v>
      </c>
      <c r="W150" s="645">
        <f t="shared" si="20"/>
        <v>0</v>
      </c>
      <c r="X150" s="645"/>
      <c r="Y150" s="645"/>
      <c r="Z150" s="645">
        <f aca="true" t="shared" si="21" ref="Z150:AE150">SUM(Z151:Z152)</f>
        <v>0</v>
      </c>
      <c r="AA150" s="645">
        <f t="shared" si="21"/>
        <v>0</v>
      </c>
      <c r="AB150" s="645">
        <f t="shared" si="21"/>
        <v>0</v>
      </c>
      <c r="AC150" s="645">
        <f t="shared" si="21"/>
        <v>0</v>
      </c>
      <c r="AD150" s="645">
        <f t="shared" si="21"/>
        <v>0</v>
      </c>
      <c r="AE150" s="645">
        <f t="shared" si="21"/>
        <v>0</v>
      </c>
      <c r="AF150" s="645"/>
      <c r="AG150" s="679">
        <f t="shared" si="16"/>
        <v>2500</v>
      </c>
      <c r="AH150" s="629"/>
    </row>
    <row r="151" spans="1:34" ht="18" customHeight="1">
      <c r="A151" s="641" t="s">
        <v>20</v>
      </c>
      <c r="B151" s="633" t="s">
        <v>625</v>
      </c>
      <c r="C151" s="646"/>
      <c r="D151" s="646"/>
      <c r="E151" s="646"/>
      <c r="F151" s="646"/>
      <c r="G151" s="646"/>
      <c r="H151" s="646"/>
      <c r="I151" s="646"/>
      <c r="J151" s="646"/>
      <c r="K151" s="646"/>
      <c r="L151" s="646"/>
      <c r="M151" s="646">
        <v>800</v>
      </c>
      <c r="N151" s="646"/>
      <c r="O151" s="646"/>
      <c r="P151" s="646"/>
      <c r="Q151" s="646"/>
      <c r="R151" s="646"/>
      <c r="S151" s="646"/>
      <c r="T151" s="646">
        <v>400</v>
      </c>
      <c r="U151" s="646"/>
      <c r="V151" s="646"/>
      <c r="W151" s="646"/>
      <c r="X151" s="646"/>
      <c r="Y151" s="646"/>
      <c r="Z151" s="646"/>
      <c r="AA151" s="646"/>
      <c r="AB151" s="646"/>
      <c r="AC151" s="646"/>
      <c r="AD151" s="646"/>
      <c r="AE151" s="646"/>
      <c r="AF151" s="646"/>
      <c r="AG151" s="625">
        <f t="shared" si="16"/>
        <v>1200</v>
      </c>
      <c r="AH151" s="629"/>
    </row>
    <row r="152" spans="1:34" s="606" customFormat="1" ht="18" customHeight="1" thickBot="1">
      <c r="A152" s="640" t="s">
        <v>21</v>
      </c>
      <c r="B152" s="642" t="s">
        <v>629</v>
      </c>
      <c r="C152" s="647"/>
      <c r="D152" s="647"/>
      <c r="E152" s="647"/>
      <c r="F152" s="647"/>
      <c r="G152" s="647"/>
      <c r="H152" s="647"/>
      <c r="I152" s="647"/>
      <c r="J152" s="647"/>
      <c r="K152" s="647"/>
      <c r="L152" s="647"/>
      <c r="M152" s="647"/>
      <c r="N152" s="647"/>
      <c r="O152" s="647"/>
      <c r="P152" s="647">
        <v>1300</v>
      </c>
      <c r="Q152" s="647"/>
      <c r="R152" s="647"/>
      <c r="S152" s="647"/>
      <c r="T152" s="647"/>
      <c r="U152" s="647"/>
      <c r="V152" s="647"/>
      <c r="W152" s="647"/>
      <c r="X152" s="647"/>
      <c r="Y152" s="647"/>
      <c r="Z152" s="647"/>
      <c r="AA152" s="647"/>
      <c r="AB152" s="647"/>
      <c r="AC152" s="647"/>
      <c r="AD152" s="647"/>
      <c r="AE152" s="647"/>
      <c r="AF152" s="647"/>
      <c r="AG152" s="625">
        <f t="shared" si="16"/>
        <v>1300</v>
      </c>
      <c r="AH152" s="629"/>
    </row>
    <row r="153" spans="1:34" s="570" customFormat="1" ht="18" customHeight="1" thickBot="1">
      <c r="A153" s="664" t="s">
        <v>22</v>
      </c>
      <c r="B153" s="665" t="s">
        <v>23</v>
      </c>
      <c r="C153" s="645">
        <f>SUM(C154:C173)</f>
        <v>0</v>
      </c>
      <c r="D153" s="645">
        <f>SUM(D154:D173)</f>
        <v>0</v>
      </c>
      <c r="E153" s="645">
        <f>SUM(E154:E173)</f>
        <v>0</v>
      </c>
      <c r="F153" s="645"/>
      <c r="G153" s="645"/>
      <c r="H153" s="645"/>
      <c r="I153" s="645"/>
      <c r="J153" s="645"/>
      <c r="K153" s="645"/>
      <c r="L153" s="645"/>
      <c r="M153" s="645"/>
      <c r="N153" s="645"/>
      <c r="O153" s="645"/>
      <c r="P153" s="645"/>
      <c r="Q153" s="645"/>
      <c r="R153" s="645"/>
      <c r="S153" s="645"/>
      <c r="T153" s="645"/>
      <c r="U153" s="645">
        <f>SUM(U154:U173)</f>
        <v>0</v>
      </c>
      <c r="V153" s="645">
        <f>SUM(V154:V173)</f>
        <v>0</v>
      </c>
      <c r="W153" s="645">
        <f>SUM(W154:W173)</f>
        <v>0</v>
      </c>
      <c r="X153" s="645">
        <f>SUM(X154:X232)</f>
        <v>90583</v>
      </c>
      <c r="Y153" s="645"/>
      <c r="Z153" s="645">
        <f aca="true" t="shared" si="22" ref="Z153:AE153">SUM(Z154:Z173)</f>
        <v>0</v>
      </c>
      <c r="AA153" s="645">
        <f t="shared" si="22"/>
        <v>0</v>
      </c>
      <c r="AB153" s="645">
        <f t="shared" si="22"/>
        <v>0</v>
      </c>
      <c r="AC153" s="645">
        <f t="shared" si="22"/>
        <v>0</v>
      </c>
      <c r="AD153" s="645">
        <f t="shared" si="22"/>
        <v>0</v>
      </c>
      <c r="AE153" s="645">
        <f t="shared" si="22"/>
        <v>0</v>
      </c>
      <c r="AF153" s="645"/>
      <c r="AG153" s="679">
        <f t="shared" si="16"/>
        <v>90583</v>
      </c>
      <c r="AH153" s="629"/>
    </row>
    <row r="154" spans="1:34" s="673" customFormat="1" ht="18" customHeight="1">
      <c r="A154" s="674" t="s">
        <v>24</v>
      </c>
      <c r="B154" s="658" t="s">
        <v>5</v>
      </c>
      <c r="C154" s="644"/>
      <c r="D154" s="670"/>
      <c r="E154" s="644"/>
      <c r="F154" s="644"/>
      <c r="G154" s="644"/>
      <c r="H154" s="644"/>
      <c r="I154" s="644"/>
      <c r="J154" s="644"/>
      <c r="K154" s="644"/>
      <c r="L154" s="644"/>
      <c r="M154" s="644"/>
      <c r="N154" s="644"/>
      <c r="O154" s="644"/>
      <c r="P154" s="644"/>
      <c r="Q154" s="644"/>
      <c r="R154" s="644"/>
      <c r="S154" s="644"/>
      <c r="T154" s="644"/>
      <c r="U154" s="644"/>
      <c r="V154" s="644"/>
      <c r="W154" s="644"/>
      <c r="X154" s="644">
        <v>920</v>
      </c>
      <c r="Y154" s="644"/>
      <c r="Z154" s="644"/>
      <c r="AA154" s="644"/>
      <c r="AB154" s="644"/>
      <c r="AC154" s="644"/>
      <c r="AD154" s="644"/>
      <c r="AE154" s="644"/>
      <c r="AF154" s="644"/>
      <c r="AG154" s="625">
        <f t="shared" si="16"/>
        <v>920</v>
      </c>
      <c r="AH154" s="638"/>
    </row>
    <row r="155" spans="1:34" s="673" customFormat="1" ht="18" customHeight="1">
      <c r="A155" s="674" t="s">
        <v>25</v>
      </c>
      <c r="B155" s="658" t="s">
        <v>6</v>
      </c>
      <c r="C155" s="644"/>
      <c r="D155" s="670"/>
      <c r="E155" s="644"/>
      <c r="F155" s="644"/>
      <c r="G155" s="644"/>
      <c r="H155" s="644"/>
      <c r="I155" s="644"/>
      <c r="J155" s="644"/>
      <c r="K155" s="644"/>
      <c r="L155" s="644"/>
      <c r="M155" s="644"/>
      <c r="N155" s="644"/>
      <c r="O155" s="644"/>
      <c r="P155" s="644"/>
      <c r="Q155" s="644"/>
      <c r="R155" s="644"/>
      <c r="S155" s="644"/>
      <c r="T155" s="644"/>
      <c r="U155" s="644"/>
      <c r="V155" s="644"/>
      <c r="W155" s="644"/>
      <c r="X155" s="644">
        <v>184</v>
      </c>
      <c r="Y155" s="644"/>
      <c r="Z155" s="644"/>
      <c r="AA155" s="644"/>
      <c r="AB155" s="644"/>
      <c r="AC155" s="644"/>
      <c r="AD155" s="644"/>
      <c r="AE155" s="644"/>
      <c r="AF155" s="644"/>
      <c r="AG155" s="625">
        <f t="shared" si="16"/>
        <v>184</v>
      </c>
      <c r="AH155" s="638"/>
    </row>
    <row r="156" spans="1:34" s="673" customFormat="1" ht="18" customHeight="1">
      <c r="A156" s="674" t="s">
        <v>26</v>
      </c>
      <c r="B156" s="639" t="s">
        <v>2</v>
      </c>
      <c r="C156" s="644"/>
      <c r="D156" s="670"/>
      <c r="E156" s="644"/>
      <c r="F156" s="644"/>
      <c r="G156" s="644"/>
      <c r="H156" s="644"/>
      <c r="I156" s="644"/>
      <c r="J156" s="644"/>
      <c r="K156" s="644"/>
      <c r="L156" s="644"/>
      <c r="M156" s="644"/>
      <c r="N156" s="644"/>
      <c r="O156" s="644"/>
      <c r="P156" s="644"/>
      <c r="Q156" s="644"/>
      <c r="R156" s="644"/>
      <c r="S156" s="644"/>
      <c r="T156" s="644"/>
      <c r="U156" s="644"/>
      <c r="V156" s="644"/>
      <c r="W156" s="644"/>
      <c r="X156" s="644">
        <v>1104</v>
      </c>
      <c r="Y156" s="644"/>
      <c r="Z156" s="644"/>
      <c r="AA156" s="644"/>
      <c r="AB156" s="644"/>
      <c r="AC156" s="644"/>
      <c r="AD156" s="644"/>
      <c r="AE156" s="644"/>
      <c r="AF156" s="644"/>
      <c r="AG156" s="625">
        <f t="shared" si="16"/>
        <v>1104</v>
      </c>
      <c r="AH156" s="638"/>
    </row>
    <row r="157" spans="1:34" s="673" customFormat="1" ht="18" customHeight="1">
      <c r="A157" s="674" t="s">
        <v>27</v>
      </c>
      <c r="B157" s="639" t="s">
        <v>3</v>
      </c>
      <c r="C157" s="644"/>
      <c r="D157" s="670"/>
      <c r="E157" s="644"/>
      <c r="F157" s="644"/>
      <c r="G157" s="644"/>
      <c r="H157" s="644"/>
      <c r="I157" s="644"/>
      <c r="J157" s="644"/>
      <c r="K157" s="644"/>
      <c r="L157" s="644"/>
      <c r="M157" s="644"/>
      <c r="N157" s="644"/>
      <c r="O157" s="644"/>
      <c r="P157" s="644"/>
      <c r="Q157" s="644"/>
      <c r="R157" s="644"/>
      <c r="S157" s="644"/>
      <c r="T157" s="644"/>
      <c r="U157" s="644"/>
      <c r="V157" s="644"/>
      <c r="W157" s="644"/>
      <c r="X157" s="644">
        <v>2391</v>
      </c>
      <c r="Y157" s="644"/>
      <c r="Z157" s="644"/>
      <c r="AA157" s="644"/>
      <c r="AB157" s="644"/>
      <c r="AC157" s="644"/>
      <c r="AD157" s="644"/>
      <c r="AE157" s="644"/>
      <c r="AF157" s="644"/>
      <c r="AG157" s="625">
        <f t="shared" si="16"/>
        <v>2391</v>
      </c>
      <c r="AH157" s="638"/>
    </row>
    <row r="158" spans="1:34" s="673" customFormat="1" ht="18" customHeight="1">
      <c r="A158" s="674" t="s">
        <v>28</v>
      </c>
      <c r="B158" s="639" t="s">
        <v>4</v>
      </c>
      <c r="C158" s="644"/>
      <c r="D158" s="670"/>
      <c r="E158" s="644"/>
      <c r="F158" s="644"/>
      <c r="G158" s="644"/>
      <c r="H158" s="644"/>
      <c r="I158" s="644"/>
      <c r="J158" s="644"/>
      <c r="K158" s="644"/>
      <c r="L158" s="644"/>
      <c r="M158" s="644"/>
      <c r="N158" s="644"/>
      <c r="O158" s="644"/>
      <c r="P158" s="644"/>
      <c r="Q158" s="644"/>
      <c r="R158" s="644"/>
      <c r="S158" s="644"/>
      <c r="T158" s="644"/>
      <c r="U158" s="644"/>
      <c r="V158" s="644"/>
      <c r="W158" s="644"/>
      <c r="X158" s="644">
        <v>1104</v>
      </c>
      <c r="Y158" s="644"/>
      <c r="Z158" s="644"/>
      <c r="AA158" s="644"/>
      <c r="AB158" s="644"/>
      <c r="AC158" s="644"/>
      <c r="AD158" s="644"/>
      <c r="AE158" s="644"/>
      <c r="AF158" s="644"/>
      <c r="AG158" s="625">
        <f t="shared" si="16"/>
        <v>1104</v>
      </c>
      <c r="AH158" s="638"/>
    </row>
    <row r="159" spans="1:34" s="673" customFormat="1" ht="18" customHeight="1">
      <c r="A159" s="674" t="s">
        <v>29</v>
      </c>
      <c r="B159" s="639" t="s">
        <v>9</v>
      </c>
      <c r="C159" s="644"/>
      <c r="D159" s="670"/>
      <c r="E159" s="644"/>
      <c r="F159" s="644"/>
      <c r="G159" s="644"/>
      <c r="H159" s="644"/>
      <c r="I159" s="644"/>
      <c r="J159" s="644"/>
      <c r="K159" s="644"/>
      <c r="L159" s="644"/>
      <c r="M159" s="644"/>
      <c r="N159" s="644"/>
      <c r="O159" s="644"/>
      <c r="P159" s="644"/>
      <c r="Q159" s="644"/>
      <c r="R159" s="644"/>
      <c r="S159" s="644"/>
      <c r="T159" s="644"/>
      <c r="U159" s="644"/>
      <c r="V159" s="644"/>
      <c r="W159" s="644"/>
      <c r="X159" s="644">
        <v>1656</v>
      </c>
      <c r="Y159" s="644"/>
      <c r="Z159" s="644"/>
      <c r="AA159" s="644"/>
      <c r="AB159" s="644"/>
      <c r="AC159" s="644"/>
      <c r="AD159" s="644"/>
      <c r="AE159" s="644"/>
      <c r="AF159" s="644"/>
      <c r="AG159" s="625">
        <f t="shared" si="16"/>
        <v>1656</v>
      </c>
      <c r="AH159" s="638"/>
    </row>
    <row r="160" spans="1:34" s="673" customFormat="1" ht="18" customHeight="1">
      <c r="A160" s="674" t="s">
        <v>30</v>
      </c>
      <c r="B160" s="639" t="s">
        <v>10</v>
      </c>
      <c r="C160" s="644"/>
      <c r="D160" s="670"/>
      <c r="E160" s="644"/>
      <c r="F160" s="644"/>
      <c r="G160" s="644"/>
      <c r="H160" s="644"/>
      <c r="I160" s="644"/>
      <c r="J160" s="644"/>
      <c r="K160" s="644"/>
      <c r="L160" s="644"/>
      <c r="M160" s="644"/>
      <c r="N160" s="644"/>
      <c r="O160" s="644"/>
      <c r="P160" s="644"/>
      <c r="Q160" s="644"/>
      <c r="R160" s="644"/>
      <c r="S160" s="644"/>
      <c r="T160" s="644"/>
      <c r="U160" s="644"/>
      <c r="V160" s="644"/>
      <c r="W160" s="644"/>
      <c r="X160" s="644">
        <v>920</v>
      </c>
      <c r="Y160" s="644"/>
      <c r="Z160" s="644"/>
      <c r="AA160" s="644"/>
      <c r="AB160" s="644"/>
      <c r="AC160" s="644"/>
      <c r="AD160" s="644"/>
      <c r="AE160" s="644"/>
      <c r="AF160" s="644"/>
      <c r="AG160" s="625">
        <f t="shared" si="16"/>
        <v>920</v>
      </c>
      <c r="AH160" s="638"/>
    </row>
    <row r="161" spans="1:34" s="673" customFormat="1" ht="18" customHeight="1">
      <c r="A161" s="674" t="s">
        <v>31</v>
      </c>
      <c r="B161" s="639" t="s">
        <v>11</v>
      </c>
      <c r="C161" s="644"/>
      <c r="D161" s="670"/>
      <c r="E161" s="644"/>
      <c r="F161" s="644"/>
      <c r="G161" s="644"/>
      <c r="H161" s="644"/>
      <c r="I161" s="644"/>
      <c r="J161" s="644"/>
      <c r="K161" s="644"/>
      <c r="L161" s="644"/>
      <c r="M161" s="644"/>
      <c r="N161" s="644"/>
      <c r="O161" s="644"/>
      <c r="P161" s="644"/>
      <c r="Q161" s="644"/>
      <c r="R161" s="644"/>
      <c r="S161" s="644"/>
      <c r="T161" s="644"/>
      <c r="U161" s="644"/>
      <c r="V161" s="644"/>
      <c r="W161" s="644"/>
      <c r="X161" s="644">
        <v>552</v>
      </c>
      <c r="Y161" s="644"/>
      <c r="Z161" s="644"/>
      <c r="AA161" s="644"/>
      <c r="AB161" s="644"/>
      <c r="AC161" s="644"/>
      <c r="AD161" s="644"/>
      <c r="AE161" s="644"/>
      <c r="AF161" s="644"/>
      <c r="AG161" s="625">
        <f t="shared" si="16"/>
        <v>552</v>
      </c>
      <c r="AH161" s="638"/>
    </row>
    <row r="162" spans="1:34" s="673" customFormat="1" ht="18" customHeight="1">
      <c r="A162" s="674" t="s">
        <v>32</v>
      </c>
      <c r="B162" s="639" t="s">
        <v>12</v>
      </c>
      <c r="C162" s="644"/>
      <c r="D162" s="670"/>
      <c r="E162" s="644"/>
      <c r="F162" s="644"/>
      <c r="G162" s="644"/>
      <c r="H162" s="644"/>
      <c r="I162" s="644"/>
      <c r="J162" s="644"/>
      <c r="K162" s="644"/>
      <c r="L162" s="644"/>
      <c r="M162" s="644"/>
      <c r="N162" s="644"/>
      <c r="O162" s="644"/>
      <c r="P162" s="644"/>
      <c r="Q162" s="644"/>
      <c r="R162" s="644"/>
      <c r="S162" s="644"/>
      <c r="T162" s="644"/>
      <c r="U162" s="644"/>
      <c r="V162" s="644"/>
      <c r="W162" s="644"/>
      <c r="X162" s="644">
        <v>2024</v>
      </c>
      <c r="Y162" s="644"/>
      <c r="Z162" s="644"/>
      <c r="AA162" s="644"/>
      <c r="AB162" s="644"/>
      <c r="AC162" s="644"/>
      <c r="AD162" s="644"/>
      <c r="AE162" s="644"/>
      <c r="AF162" s="644"/>
      <c r="AG162" s="625">
        <f t="shared" si="16"/>
        <v>2024</v>
      </c>
      <c r="AH162" s="638"/>
    </row>
    <row r="163" spans="1:34" s="673" customFormat="1" ht="18" customHeight="1">
      <c r="A163" s="674" t="s">
        <v>33</v>
      </c>
      <c r="B163" s="639" t="s">
        <v>34</v>
      </c>
      <c r="C163" s="644"/>
      <c r="D163" s="670"/>
      <c r="E163" s="644"/>
      <c r="F163" s="644"/>
      <c r="G163" s="644"/>
      <c r="H163" s="644"/>
      <c r="I163" s="644"/>
      <c r="J163" s="644"/>
      <c r="K163" s="644"/>
      <c r="L163" s="644"/>
      <c r="M163" s="644"/>
      <c r="N163" s="644"/>
      <c r="O163" s="644"/>
      <c r="P163" s="644"/>
      <c r="Q163" s="644"/>
      <c r="R163" s="644"/>
      <c r="S163" s="644"/>
      <c r="T163" s="644"/>
      <c r="U163" s="644"/>
      <c r="V163" s="644"/>
      <c r="W163" s="644"/>
      <c r="X163" s="644">
        <v>736</v>
      </c>
      <c r="Y163" s="644"/>
      <c r="Z163" s="644"/>
      <c r="AA163" s="644"/>
      <c r="AB163" s="644"/>
      <c r="AC163" s="644"/>
      <c r="AD163" s="644"/>
      <c r="AE163" s="644"/>
      <c r="AF163" s="644"/>
      <c r="AG163" s="625">
        <f t="shared" si="16"/>
        <v>736</v>
      </c>
      <c r="AH163" s="638"/>
    </row>
    <row r="164" spans="1:34" s="673" customFormat="1" ht="18" customHeight="1">
      <c r="A164" s="674" t="s">
        <v>35</v>
      </c>
      <c r="B164" s="639" t="s">
        <v>36</v>
      </c>
      <c r="C164" s="644"/>
      <c r="D164" s="670"/>
      <c r="E164" s="644"/>
      <c r="F164" s="644"/>
      <c r="G164" s="644"/>
      <c r="H164" s="644"/>
      <c r="I164" s="644"/>
      <c r="J164" s="644"/>
      <c r="K164" s="644"/>
      <c r="L164" s="644"/>
      <c r="M164" s="644"/>
      <c r="N164" s="644"/>
      <c r="O164" s="644"/>
      <c r="P164" s="644"/>
      <c r="Q164" s="644"/>
      <c r="R164" s="644"/>
      <c r="S164" s="644"/>
      <c r="T164" s="644"/>
      <c r="U164" s="644"/>
      <c r="V164" s="644"/>
      <c r="W164" s="644"/>
      <c r="X164" s="644">
        <v>736</v>
      </c>
      <c r="Y164" s="644"/>
      <c r="Z164" s="644"/>
      <c r="AA164" s="644"/>
      <c r="AB164" s="644"/>
      <c r="AC164" s="644"/>
      <c r="AD164" s="644"/>
      <c r="AE164" s="644"/>
      <c r="AF164" s="644"/>
      <c r="AG164" s="625">
        <f t="shared" si="16"/>
        <v>736</v>
      </c>
      <c r="AH164" s="638"/>
    </row>
    <row r="165" spans="1:34" s="673" customFormat="1" ht="18" customHeight="1">
      <c r="A165" s="674" t="s">
        <v>37</v>
      </c>
      <c r="B165" s="639" t="s">
        <v>677</v>
      </c>
      <c r="C165" s="644"/>
      <c r="D165" s="670"/>
      <c r="E165" s="644"/>
      <c r="F165" s="644"/>
      <c r="G165" s="644"/>
      <c r="H165" s="644"/>
      <c r="I165" s="644"/>
      <c r="J165" s="644"/>
      <c r="K165" s="644"/>
      <c r="L165" s="644"/>
      <c r="M165" s="644"/>
      <c r="N165" s="644"/>
      <c r="O165" s="644"/>
      <c r="P165" s="644"/>
      <c r="Q165" s="644"/>
      <c r="R165" s="644"/>
      <c r="S165" s="644"/>
      <c r="T165" s="644"/>
      <c r="U165" s="644"/>
      <c r="V165" s="644"/>
      <c r="W165" s="644"/>
      <c r="X165" s="644">
        <v>1656</v>
      </c>
      <c r="Y165" s="644"/>
      <c r="Z165" s="644"/>
      <c r="AA165" s="644"/>
      <c r="AB165" s="644"/>
      <c r="AC165" s="644"/>
      <c r="AD165" s="644"/>
      <c r="AE165" s="644"/>
      <c r="AF165" s="644"/>
      <c r="AG165" s="625">
        <f t="shared" si="16"/>
        <v>1656</v>
      </c>
      <c r="AH165" s="638"/>
    </row>
    <row r="166" spans="1:34" s="673" customFormat="1" ht="25.5">
      <c r="A166" s="674" t="s">
        <v>38</v>
      </c>
      <c r="B166" s="651" t="s">
        <v>701</v>
      </c>
      <c r="C166" s="644"/>
      <c r="D166" s="670"/>
      <c r="E166" s="644"/>
      <c r="F166" s="644"/>
      <c r="G166" s="644"/>
      <c r="H166" s="644"/>
      <c r="I166" s="644"/>
      <c r="J166" s="644"/>
      <c r="K166" s="644"/>
      <c r="L166" s="644"/>
      <c r="M166" s="644"/>
      <c r="N166" s="644"/>
      <c r="O166" s="644"/>
      <c r="P166" s="644"/>
      <c r="Q166" s="644"/>
      <c r="R166" s="644"/>
      <c r="S166" s="644"/>
      <c r="T166" s="644"/>
      <c r="U166" s="644"/>
      <c r="V166" s="644"/>
      <c r="W166" s="644"/>
      <c r="X166" s="644">
        <v>2759</v>
      </c>
      <c r="Y166" s="644"/>
      <c r="Z166" s="644"/>
      <c r="AA166" s="644"/>
      <c r="AB166" s="644"/>
      <c r="AC166" s="644"/>
      <c r="AD166" s="644"/>
      <c r="AE166" s="644"/>
      <c r="AF166" s="644"/>
      <c r="AG166" s="625">
        <f t="shared" si="16"/>
        <v>2759</v>
      </c>
      <c r="AH166" s="638"/>
    </row>
    <row r="167" spans="1:34" s="673" customFormat="1" ht="25.5">
      <c r="A167" s="674" t="s">
        <v>39</v>
      </c>
      <c r="B167" s="651" t="s">
        <v>702</v>
      </c>
      <c r="C167" s="644"/>
      <c r="D167" s="670"/>
      <c r="E167" s="644"/>
      <c r="F167" s="644"/>
      <c r="G167" s="644"/>
      <c r="H167" s="644"/>
      <c r="I167" s="644"/>
      <c r="J167" s="644"/>
      <c r="K167" s="644"/>
      <c r="L167" s="644"/>
      <c r="M167" s="644"/>
      <c r="N167" s="644"/>
      <c r="O167" s="644"/>
      <c r="P167" s="644"/>
      <c r="Q167" s="644"/>
      <c r="R167" s="644"/>
      <c r="S167" s="644"/>
      <c r="T167" s="644"/>
      <c r="U167" s="644"/>
      <c r="V167" s="644"/>
      <c r="W167" s="644"/>
      <c r="X167" s="644">
        <v>8095</v>
      </c>
      <c r="Y167" s="644"/>
      <c r="Z167" s="644"/>
      <c r="AA167" s="644"/>
      <c r="AB167" s="644"/>
      <c r="AC167" s="644"/>
      <c r="AD167" s="644"/>
      <c r="AE167" s="644"/>
      <c r="AF167" s="644"/>
      <c r="AG167" s="625">
        <f t="shared" si="16"/>
        <v>8095</v>
      </c>
      <c r="AH167" s="638"/>
    </row>
    <row r="168" spans="1:34" s="673" customFormat="1" ht="18" customHeight="1">
      <c r="A168" s="674" t="s">
        <v>40</v>
      </c>
      <c r="B168" s="639" t="s">
        <v>698</v>
      </c>
      <c r="C168" s="644"/>
      <c r="D168" s="670"/>
      <c r="E168" s="644"/>
      <c r="F168" s="644"/>
      <c r="G168" s="644"/>
      <c r="H168" s="644"/>
      <c r="I168" s="644"/>
      <c r="J168" s="644"/>
      <c r="K168" s="644"/>
      <c r="L168" s="644"/>
      <c r="M168" s="644"/>
      <c r="N168" s="644"/>
      <c r="O168" s="644"/>
      <c r="P168" s="644"/>
      <c r="Q168" s="644"/>
      <c r="R168" s="644"/>
      <c r="S168" s="644"/>
      <c r="T168" s="644"/>
      <c r="U168" s="644"/>
      <c r="V168" s="644"/>
      <c r="W168" s="644"/>
      <c r="X168" s="644">
        <v>4599</v>
      </c>
      <c r="Y168" s="644"/>
      <c r="Z168" s="644"/>
      <c r="AA168" s="644"/>
      <c r="AB168" s="644"/>
      <c r="AC168" s="644"/>
      <c r="AD168" s="644"/>
      <c r="AE168" s="644"/>
      <c r="AF168" s="644"/>
      <c r="AG168" s="625">
        <f t="shared" si="16"/>
        <v>4599</v>
      </c>
      <c r="AH168" s="638"/>
    </row>
    <row r="169" spans="1:34" s="673" customFormat="1" ht="18" customHeight="1">
      <c r="A169" s="674" t="s">
        <v>41</v>
      </c>
      <c r="B169" s="639" t="s">
        <v>638</v>
      </c>
      <c r="C169" s="644"/>
      <c r="D169" s="670"/>
      <c r="E169" s="644"/>
      <c r="F169" s="644"/>
      <c r="G169" s="644"/>
      <c r="H169" s="644"/>
      <c r="I169" s="644"/>
      <c r="J169" s="644"/>
      <c r="K169" s="644"/>
      <c r="L169" s="644"/>
      <c r="M169" s="644"/>
      <c r="N169" s="644"/>
      <c r="O169" s="644"/>
      <c r="P169" s="644"/>
      <c r="Q169" s="644"/>
      <c r="R169" s="644"/>
      <c r="S169" s="644"/>
      <c r="T169" s="644"/>
      <c r="U169" s="644"/>
      <c r="V169" s="644"/>
      <c r="W169" s="644"/>
      <c r="X169" s="644">
        <v>3863</v>
      </c>
      <c r="Y169" s="644"/>
      <c r="Z169" s="644"/>
      <c r="AA169" s="644"/>
      <c r="AB169" s="644"/>
      <c r="AC169" s="644"/>
      <c r="AD169" s="644"/>
      <c r="AE169" s="644"/>
      <c r="AF169" s="644"/>
      <c r="AG169" s="625">
        <f aca="true" t="shared" si="23" ref="AG169:AG200">SUM(C169:AF169)-R169</f>
        <v>3863</v>
      </c>
      <c r="AH169" s="638"/>
    </row>
    <row r="170" spans="1:34" s="673" customFormat="1" ht="18" customHeight="1">
      <c r="A170" s="674" t="s">
        <v>42</v>
      </c>
      <c r="B170" s="639" t="s">
        <v>18</v>
      </c>
      <c r="C170" s="644"/>
      <c r="D170" s="670"/>
      <c r="E170" s="644"/>
      <c r="F170" s="644"/>
      <c r="G170" s="644"/>
      <c r="H170" s="644"/>
      <c r="I170" s="644"/>
      <c r="J170" s="644"/>
      <c r="K170" s="644"/>
      <c r="L170" s="644"/>
      <c r="M170" s="644"/>
      <c r="N170" s="644"/>
      <c r="O170" s="644"/>
      <c r="P170" s="644"/>
      <c r="Q170" s="644"/>
      <c r="R170" s="644"/>
      <c r="S170" s="644"/>
      <c r="T170" s="644"/>
      <c r="U170" s="644"/>
      <c r="V170" s="644"/>
      <c r="W170" s="644"/>
      <c r="X170" s="644">
        <v>2391</v>
      </c>
      <c r="Y170" s="644"/>
      <c r="Z170" s="644"/>
      <c r="AA170" s="644"/>
      <c r="AB170" s="644"/>
      <c r="AC170" s="644"/>
      <c r="AD170" s="644"/>
      <c r="AE170" s="644"/>
      <c r="AF170" s="644"/>
      <c r="AG170" s="625">
        <f t="shared" si="23"/>
        <v>2391</v>
      </c>
      <c r="AH170" s="638"/>
    </row>
    <row r="171" spans="1:34" s="673" customFormat="1" ht="18" customHeight="1">
      <c r="A171" s="674" t="s">
        <v>43</v>
      </c>
      <c r="B171" s="639" t="s">
        <v>7</v>
      </c>
      <c r="C171" s="644"/>
      <c r="D171" s="670"/>
      <c r="E171" s="644"/>
      <c r="F171" s="644"/>
      <c r="G171" s="644"/>
      <c r="H171" s="644"/>
      <c r="I171" s="644"/>
      <c r="J171" s="644"/>
      <c r="K171" s="644"/>
      <c r="L171" s="644"/>
      <c r="M171" s="644"/>
      <c r="N171" s="644"/>
      <c r="O171" s="644"/>
      <c r="P171" s="644"/>
      <c r="Q171" s="644"/>
      <c r="R171" s="644"/>
      <c r="S171" s="644"/>
      <c r="T171" s="644"/>
      <c r="U171" s="644"/>
      <c r="V171" s="644"/>
      <c r="W171" s="644"/>
      <c r="X171" s="644">
        <v>184</v>
      </c>
      <c r="Y171" s="644"/>
      <c r="Z171" s="644"/>
      <c r="AA171" s="644"/>
      <c r="AB171" s="644"/>
      <c r="AC171" s="644"/>
      <c r="AD171" s="644"/>
      <c r="AE171" s="644"/>
      <c r="AF171" s="644"/>
      <c r="AG171" s="625">
        <f t="shared" si="23"/>
        <v>184</v>
      </c>
      <c r="AH171" s="638"/>
    </row>
    <row r="172" spans="1:34" s="673" customFormat="1" ht="18" customHeight="1">
      <c r="A172" s="674" t="s">
        <v>44</v>
      </c>
      <c r="B172" s="639" t="s">
        <v>17</v>
      </c>
      <c r="C172" s="644"/>
      <c r="D172" s="670"/>
      <c r="E172" s="644"/>
      <c r="F172" s="644"/>
      <c r="G172" s="644"/>
      <c r="H172" s="644"/>
      <c r="I172" s="644"/>
      <c r="J172" s="644"/>
      <c r="K172" s="644"/>
      <c r="L172" s="644"/>
      <c r="M172" s="644"/>
      <c r="N172" s="644"/>
      <c r="O172" s="644"/>
      <c r="P172" s="644"/>
      <c r="Q172" s="644"/>
      <c r="R172" s="644"/>
      <c r="S172" s="644"/>
      <c r="T172" s="644"/>
      <c r="U172" s="644"/>
      <c r="V172" s="644"/>
      <c r="W172" s="644"/>
      <c r="X172" s="644">
        <v>368</v>
      </c>
      <c r="Y172" s="644"/>
      <c r="Z172" s="644"/>
      <c r="AA172" s="644"/>
      <c r="AB172" s="644"/>
      <c r="AC172" s="644"/>
      <c r="AD172" s="644"/>
      <c r="AE172" s="644"/>
      <c r="AF172" s="644"/>
      <c r="AG172" s="625">
        <f t="shared" si="23"/>
        <v>368</v>
      </c>
      <c r="AH172" s="638"/>
    </row>
    <row r="173" spans="1:34" s="673" customFormat="1" ht="18" customHeight="1">
      <c r="A173" s="674" t="s">
        <v>45</v>
      </c>
      <c r="B173" s="639" t="s">
        <v>1</v>
      </c>
      <c r="C173" s="644"/>
      <c r="D173" s="670"/>
      <c r="E173" s="644"/>
      <c r="F173" s="644"/>
      <c r="G173" s="644"/>
      <c r="H173" s="644"/>
      <c r="I173" s="644"/>
      <c r="J173" s="644"/>
      <c r="K173" s="644"/>
      <c r="L173" s="644"/>
      <c r="M173" s="644"/>
      <c r="N173" s="644"/>
      <c r="O173" s="644"/>
      <c r="P173" s="644"/>
      <c r="Q173" s="644"/>
      <c r="R173" s="644"/>
      <c r="S173" s="644"/>
      <c r="T173" s="644"/>
      <c r="U173" s="644"/>
      <c r="V173" s="644"/>
      <c r="W173" s="644"/>
      <c r="X173" s="644">
        <v>219</v>
      </c>
      <c r="Y173" s="644"/>
      <c r="Z173" s="644"/>
      <c r="AA173" s="644"/>
      <c r="AB173" s="644"/>
      <c r="AC173" s="644"/>
      <c r="AD173" s="644"/>
      <c r="AE173" s="644"/>
      <c r="AF173" s="644"/>
      <c r="AG173" s="625">
        <f t="shared" si="23"/>
        <v>219</v>
      </c>
      <c r="AH173" s="638"/>
    </row>
    <row r="174" spans="1:33" ht="18" customHeight="1">
      <c r="A174" s="668" t="s">
        <v>46</v>
      </c>
      <c r="B174" s="642" t="s">
        <v>148</v>
      </c>
      <c r="C174" s="667"/>
      <c r="D174" s="647"/>
      <c r="E174" s="667"/>
      <c r="F174" s="667"/>
      <c r="G174" s="667"/>
      <c r="H174" s="667"/>
      <c r="I174" s="667"/>
      <c r="J174" s="667"/>
      <c r="K174" s="667"/>
      <c r="L174" s="667"/>
      <c r="M174" s="667"/>
      <c r="N174" s="667"/>
      <c r="O174" s="667"/>
      <c r="P174" s="667"/>
      <c r="Q174" s="667"/>
      <c r="R174" s="667"/>
      <c r="S174" s="667"/>
      <c r="T174" s="667"/>
      <c r="U174" s="667"/>
      <c r="V174" s="667"/>
      <c r="W174" s="667"/>
      <c r="X174" s="667">
        <v>1534</v>
      </c>
      <c r="Y174" s="667"/>
      <c r="Z174" s="667"/>
      <c r="AA174" s="667"/>
      <c r="AB174" s="667"/>
      <c r="AC174" s="667"/>
      <c r="AD174" s="667"/>
      <c r="AE174" s="667"/>
      <c r="AF174" s="667"/>
      <c r="AG174" s="625">
        <f t="shared" si="23"/>
        <v>1534</v>
      </c>
    </row>
    <row r="175" spans="1:33" ht="18" customHeight="1">
      <c r="A175" s="668" t="s">
        <v>47</v>
      </c>
      <c r="B175" s="633" t="s">
        <v>136</v>
      </c>
      <c r="C175" s="669"/>
      <c r="D175" s="646"/>
      <c r="E175" s="669"/>
      <c r="F175" s="669"/>
      <c r="G175" s="669"/>
      <c r="H175" s="669"/>
      <c r="I175" s="669"/>
      <c r="J175" s="669"/>
      <c r="K175" s="669"/>
      <c r="L175" s="669"/>
      <c r="M175" s="669"/>
      <c r="N175" s="669"/>
      <c r="O175" s="669"/>
      <c r="P175" s="669"/>
      <c r="Q175" s="669"/>
      <c r="R175" s="669"/>
      <c r="S175" s="669"/>
      <c r="T175" s="669"/>
      <c r="U175" s="669"/>
      <c r="V175" s="669"/>
      <c r="W175" s="669"/>
      <c r="X175" s="669">
        <v>877</v>
      </c>
      <c r="Y175" s="669"/>
      <c r="Z175" s="669"/>
      <c r="AA175" s="669"/>
      <c r="AB175" s="669"/>
      <c r="AC175" s="669"/>
      <c r="AD175" s="669"/>
      <c r="AE175" s="669"/>
      <c r="AF175" s="669"/>
      <c r="AG175" s="625">
        <f t="shared" si="23"/>
        <v>877</v>
      </c>
    </row>
    <row r="176" spans="1:33" ht="18" customHeight="1">
      <c r="A176" s="668" t="s">
        <v>48</v>
      </c>
      <c r="B176" s="633" t="s">
        <v>137</v>
      </c>
      <c r="C176" s="667"/>
      <c r="D176" s="647"/>
      <c r="E176" s="667"/>
      <c r="F176" s="667"/>
      <c r="G176" s="667"/>
      <c r="H176" s="667"/>
      <c r="I176" s="667"/>
      <c r="J176" s="667"/>
      <c r="K176" s="667"/>
      <c r="L176" s="667"/>
      <c r="M176" s="667"/>
      <c r="N176" s="667"/>
      <c r="O176" s="667"/>
      <c r="P176" s="667"/>
      <c r="Q176" s="667"/>
      <c r="R176" s="667"/>
      <c r="S176" s="667"/>
      <c r="T176" s="667"/>
      <c r="U176" s="667"/>
      <c r="V176" s="667"/>
      <c r="W176" s="667"/>
      <c r="X176" s="667">
        <v>439</v>
      </c>
      <c r="Y176" s="667"/>
      <c r="Z176" s="667"/>
      <c r="AA176" s="667"/>
      <c r="AB176" s="667"/>
      <c r="AC176" s="667"/>
      <c r="AD176" s="667"/>
      <c r="AE176" s="667"/>
      <c r="AF176" s="667"/>
      <c r="AG176" s="625">
        <f t="shared" si="23"/>
        <v>439</v>
      </c>
    </row>
    <row r="177" spans="1:33" ht="18" customHeight="1">
      <c r="A177" s="668" t="s">
        <v>49</v>
      </c>
      <c r="B177" s="633" t="s">
        <v>149</v>
      </c>
      <c r="C177" s="669"/>
      <c r="D177" s="646"/>
      <c r="E177" s="669"/>
      <c r="F177" s="669"/>
      <c r="G177" s="669"/>
      <c r="H177" s="669"/>
      <c r="I177" s="669"/>
      <c r="J177" s="669"/>
      <c r="K177" s="669"/>
      <c r="L177" s="669"/>
      <c r="M177" s="669"/>
      <c r="N177" s="669"/>
      <c r="O177" s="669"/>
      <c r="P177" s="669"/>
      <c r="Q177" s="669"/>
      <c r="R177" s="669"/>
      <c r="S177" s="669"/>
      <c r="T177" s="669"/>
      <c r="U177" s="669"/>
      <c r="V177" s="669"/>
      <c r="W177" s="669"/>
      <c r="X177" s="669">
        <v>439</v>
      </c>
      <c r="Y177" s="669"/>
      <c r="Z177" s="669"/>
      <c r="AA177" s="669"/>
      <c r="AB177" s="669"/>
      <c r="AC177" s="669"/>
      <c r="AD177" s="669"/>
      <c r="AE177" s="669"/>
      <c r="AF177" s="669"/>
      <c r="AG177" s="625">
        <f t="shared" si="23"/>
        <v>439</v>
      </c>
    </row>
    <row r="178" spans="1:33" ht="18" customHeight="1">
      <c r="A178" s="668" t="s">
        <v>50</v>
      </c>
      <c r="B178" s="633" t="s">
        <v>150</v>
      </c>
      <c r="C178" s="667"/>
      <c r="D178" s="647"/>
      <c r="E178" s="667"/>
      <c r="F178" s="667"/>
      <c r="G178" s="667"/>
      <c r="H178" s="667"/>
      <c r="I178" s="667"/>
      <c r="J178" s="667"/>
      <c r="K178" s="667"/>
      <c r="L178" s="667"/>
      <c r="M178" s="667"/>
      <c r="N178" s="667"/>
      <c r="O178" s="667"/>
      <c r="P178" s="667"/>
      <c r="Q178" s="667"/>
      <c r="R178" s="667"/>
      <c r="S178" s="667"/>
      <c r="T178" s="667"/>
      <c r="U178" s="667"/>
      <c r="V178" s="667"/>
      <c r="W178" s="667"/>
      <c r="X178" s="667">
        <v>877</v>
      </c>
      <c r="Y178" s="667"/>
      <c r="Z178" s="667"/>
      <c r="AA178" s="667"/>
      <c r="AB178" s="667"/>
      <c r="AC178" s="667"/>
      <c r="AD178" s="667"/>
      <c r="AE178" s="667"/>
      <c r="AF178" s="667"/>
      <c r="AG178" s="625">
        <f t="shared" si="23"/>
        <v>877</v>
      </c>
    </row>
    <row r="179" spans="1:33" ht="18" customHeight="1">
      <c r="A179" s="668" t="s">
        <v>51</v>
      </c>
      <c r="B179" s="633" t="s">
        <v>138</v>
      </c>
      <c r="C179" s="669"/>
      <c r="D179" s="646"/>
      <c r="E179" s="669"/>
      <c r="F179" s="669"/>
      <c r="G179" s="669"/>
      <c r="H179" s="669"/>
      <c r="I179" s="669"/>
      <c r="J179" s="669"/>
      <c r="K179" s="669"/>
      <c r="L179" s="669"/>
      <c r="M179" s="669"/>
      <c r="N179" s="669"/>
      <c r="O179" s="669"/>
      <c r="P179" s="669"/>
      <c r="Q179" s="669"/>
      <c r="R179" s="669"/>
      <c r="S179" s="669"/>
      <c r="T179" s="669"/>
      <c r="U179" s="669"/>
      <c r="V179" s="669"/>
      <c r="W179" s="669"/>
      <c r="X179" s="669">
        <v>1972</v>
      </c>
      <c r="Y179" s="669"/>
      <c r="Z179" s="669"/>
      <c r="AA179" s="669"/>
      <c r="AB179" s="669"/>
      <c r="AC179" s="669"/>
      <c r="AD179" s="669"/>
      <c r="AE179" s="669"/>
      <c r="AF179" s="669"/>
      <c r="AG179" s="625">
        <f t="shared" si="23"/>
        <v>1972</v>
      </c>
    </row>
    <row r="180" spans="1:33" ht="18" customHeight="1">
      <c r="A180" s="668" t="s">
        <v>52</v>
      </c>
      <c r="B180" s="633" t="s">
        <v>151</v>
      </c>
      <c r="C180" s="667"/>
      <c r="D180" s="647"/>
      <c r="E180" s="667"/>
      <c r="F180" s="667"/>
      <c r="G180" s="667"/>
      <c r="H180" s="667"/>
      <c r="I180" s="667"/>
      <c r="J180" s="667"/>
      <c r="K180" s="667"/>
      <c r="L180" s="667"/>
      <c r="M180" s="667"/>
      <c r="N180" s="667"/>
      <c r="O180" s="667"/>
      <c r="P180" s="667"/>
      <c r="Q180" s="667"/>
      <c r="R180" s="667"/>
      <c r="S180" s="667"/>
      <c r="T180" s="667"/>
      <c r="U180" s="667"/>
      <c r="V180" s="667"/>
      <c r="W180" s="667"/>
      <c r="X180" s="667">
        <v>2191</v>
      </c>
      <c r="Y180" s="667"/>
      <c r="Z180" s="667"/>
      <c r="AA180" s="667"/>
      <c r="AB180" s="667"/>
      <c r="AC180" s="667"/>
      <c r="AD180" s="667"/>
      <c r="AE180" s="667"/>
      <c r="AF180" s="667"/>
      <c r="AG180" s="625">
        <f t="shared" si="23"/>
        <v>2191</v>
      </c>
    </row>
    <row r="181" spans="1:33" ht="18" customHeight="1">
      <c r="A181" s="668" t="s">
        <v>53</v>
      </c>
      <c r="B181" s="633" t="s">
        <v>152</v>
      </c>
      <c r="C181" s="669"/>
      <c r="D181" s="646"/>
      <c r="E181" s="669"/>
      <c r="F181" s="669"/>
      <c r="G181" s="669"/>
      <c r="H181" s="669"/>
      <c r="I181" s="669"/>
      <c r="J181" s="669"/>
      <c r="K181" s="669"/>
      <c r="L181" s="669"/>
      <c r="M181" s="669"/>
      <c r="N181" s="669"/>
      <c r="O181" s="669"/>
      <c r="P181" s="669"/>
      <c r="Q181" s="669"/>
      <c r="R181" s="669"/>
      <c r="S181" s="669"/>
      <c r="T181" s="669"/>
      <c r="U181" s="669"/>
      <c r="V181" s="669"/>
      <c r="W181" s="669"/>
      <c r="X181" s="669">
        <v>1534</v>
      </c>
      <c r="Y181" s="669"/>
      <c r="Z181" s="669"/>
      <c r="AA181" s="669"/>
      <c r="AB181" s="669"/>
      <c r="AC181" s="669"/>
      <c r="AD181" s="669"/>
      <c r="AE181" s="669"/>
      <c r="AF181" s="669"/>
      <c r="AG181" s="625">
        <f t="shared" si="23"/>
        <v>1534</v>
      </c>
    </row>
    <row r="182" spans="1:33" ht="18" customHeight="1">
      <c r="A182" s="668" t="s">
        <v>54</v>
      </c>
      <c r="B182" s="633" t="s">
        <v>139</v>
      </c>
      <c r="C182" s="667"/>
      <c r="D182" s="647"/>
      <c r="E182" s="667"/>
      <c r="F182" s="667"/>
      <c r="G182" s="667"/>
      <c r="H182" s="667"/>
      <c r="I182" s="667"/>
      <c r="J182" s="667"/>
      <c r="K182" s="667"/>
      <c r="L182" s="667"/>
      <c r="M182" s="667"/>
      <c r="N182" s="667"/>
      <c r="O182" s="667"/>
      <c r="P182" s="667"/>
      <c r="Q182" s="667"/>
      <c r="R182" s="667"/>
      <c r="S182" s="667"/>
      <c r="T182" s="667"/>
      <c r="U182" s="667"/>
      <c r="V182" s="667"/>
      <c r="W182" s="667"/>
      <c r="X182" s="667">
        <v>1315</v>
      </c>
      <c r="Y182" s="667"/>
      <c r="Z182" s="667"/>
      <c r="AA182" s="667"/>
      <c r="AB182" s="667"/>
      <c r="AC182" s="667"/>
      <c r="AD182" s="667"/>
      <c r="AE182" s="667"/>
      <c r="AF182" s="667"/>
      <c r="AG182" s="625">
        <f t="shared" si="23"/>
        <v>1315</v>
      </c>
    </row>
    <row r="183" spans="1:33" ht="18" customHeight="1">
      <c r="A183" s="668" t="s">
        <v>55</v>
      </c>
      <c r="B183" s="633" t="s">
        <v>153</v>
      </c>
      <c r="C183" s="669"/>
      <c r="D183" s="646"/>
      <c r="E183" s="669"/>
      <c r="F183" s="669"/>
      <c r="G183" s="669"/>
      <c r="H183" s="669"/>
      <c r="I183" s="669"/>
      <c r="J183" s="669"/>
      <c r="K183" s="669"/>
      <c r="L183" s="669"/>
      <c r="M183" s="669"/>
      <c r="N183" s="669"/>
      <c r="O183" s="669"/>
      <c r="P183" s="669"/>
      <c r="Q183" s="669"/>
      <c r="R183" s="669"/>
      <c r="S183" s="669"/>
      <c r="T183" s="669"/>
      <c r="U183" s="669"/>
      <c r="V183" s="669"/>
      <c r="W183" s="669"/>
      <c r="X183" s="669">
        <v>439</v>
      </c>
      <c r="Y183" s="669"/>
      <c r="Z183" s="669"/>
      <c r="AA183" s="669"/>
      <c r="AB183" s="669"/>
      <c r="AC183" s="669"/>
      <c r="AD183" s="669"/>
      <c r="AE183" s="669"/>
      <c r="AF183" s="669"/>
      <c r="AG183" s="625">
        <f t="shared" si="23"/>
        <v>439</v>
      </c>
    </row>
    <row r="184" spans="1:33" ht="18" customHeight="1">
      <c r="A184" s="668" t="s">
        <v>56</v>
      </c>
      <c r="B184" s="633" t="s">
        <v>154</v>
      </c>
      <c r="C184" s="667"/>
      <c r="D184" s="647"/>
      <c r="E184" s="667"/>
      <c r="F184" s="667"/>
      <c r="G184" s="667"/>
      <c r="H184" s="667"/>
      <c r="I184" s="667"/>
      <c r="J184" s="667"/>
      <c r="K184" s="667"/>
      <c r="L184" s="667"/>
      <c r="M184" s="667"/>
      <c r="N184" s="667"/>
      <c r="O184" s="667"/>
      <c r="P184" s="667"/>
      <c r="Q184" s="667"/>
      <c r="R184" s="667"/>
      <c r="S184" s="667"/>
      <c r="T184" s="667"/>
      <c r="U184" s="667"/>
      <c r="V184" s="667"/>
      <c r="W184" s="667"/>
      <c r="X184" s="667">
        <v>877</v>
      </c>
      <c r="Y184" s="667"/>
      <c r="Z184" s="667"/>
      <c r="AA184" s="667"/>
      <c r="AB184" s="667"/>
      <c r="AC184" s="667"/>
      <c r="AD184" s="667"/>
      <c r="AE184" s="667"/>
      <c r="AF184" s="667"/>
      <c r="AG184" s="625">
        <f t="shared" si="23"/>
        <v>877</v>
      </c>
    </row>
    <row r="185" spans="1:33" ht="18" customHeight="1">
      <c r="A185" s="668" t="s">
        <v>57</v>
      </c>
      <c r="B185" s="633" t="s">
        <v>140</v>
      </c>
      <c r="C185" s="669"/>
      <c r="D185" s="646"/>
      <c r="E185" s="669"/>
      <c r="F185" s="669"/>
      <c r="G185" s="669"/>
      <c r="H185" s="669"/>
      <c r="I185" s="669"/>
      <c r="J185" s="669"/>
      <c r="K185" s="669"/>
      <c r="L185" s="669"/>
      <c r="M185" s="669"/>
      <c r="N185" s="669"/>
      <c r="O185" s="669"/>
      <c r="P185" s="669"/>
      <c r="Q185" s="669"/>
      <c r="R185" s="669"/>
      <c r="S185" s="669"/>
      <c r="T185" s="669"/>
      <c r="U185" s="669"/>
      <c r="V185" s="669"/>
      <c r="W185" s="669"/>
      <c r="X185" s="669">
        <v>220</v>
      </c>
      <c r="Y185" s="669"/>
      <c r="Z185" s="669"/>
      <c r="AA185" s="669"/>
      <c r="AB185" s="669"/>
      <c r="AC185" s="669"/>
      <c r="AD185" s="669"/>
      <c r="AE185" s="669"/>
      <c r="AF185" s="669"/>
      <c r="AG185" s="625">
        <f t="shared" si="23"/>
        <v>220</v>
      </c>
    </row>
    <row r="186" spans="1:33" ht="18" customHeight="1">
      <c r="A186" s="668" t="s">
        <v>58</v>
      </c>
      <c r="B186" s="633" t="s">
        <v>155</v>
      </c>
      <c r="C186" s="667"/>
      <c r="D186" s="647"/>
      <c r="E186" s="667"/>
      <c r="F186" s="667"/>
      <c r="G186" s="667"/>
      <c r="H186" s="667"/>
      <c r="I186" s="667"/>
      <c r="J186" s="667"/>
      <c r="K186" s="667"/>
      <c r="L186" s="667"/>
      <c r="M186" s="667"/>
      <c r="N186" s="667"/>
      <c r="O186" s="667"/>
      <c r="P186" s="667"/>
      <c r="Q186" s="667"/>
      <c r="R186" s="667"/>
      <c r="S186" s="667"/>
      <c r="T186" s="667"/>
      <c r="U186" s="667"/>
      <c r="V186" s="667"/>
      <c r="W186" s="667"/>
      <c r="X186" s="667">
        <v>877</v>
      </c>
      <c r="Y186" s="667"/>
      <c r="Z186" s="667"/>
      <c r="AA186" s="667"/>
      <c r="AB186" s="667"/>
      <c r="AC186" s="667"/>
      <c r="AD186" s="667"/>
      <c r="AE186" s="667"/>
      <c r="AF186" s="667"/>
      <c r="AG186" s="625">
        <f t="shared" si="23"/>
        <v>877</v>
      </c>
    </row>
    <row r="187" spans="1:33" ht="18" customHeight="1">
      <c r="A187" s="668" t="s">
        <v>59</v>
      </c>
      <c r="B187" s="633" t="s">
        <v>156</v>
      </c>
      <c r="C187" s="669"/>
      <c r="D187" s="646"/>
      <c r="E187" s="669"/>
      <c r="F187" s="669"/>
      <c r="G187" s="669"/>
      <c r="H187" s="669"/>
      <c r="I187" s="669"/>
      <c r="J187" s="669"/>
      <c r="K187" s="669"/>
      <c r="L187" s="669"/>
      <c r="M187" s="669"/>
      <c r="N187" s="669"/>
      <c r="O187" s="669"/>
      <c r="P187" s="669"/>
      <c r="Q187" s="669"/>
      <c r="R187" s="669"/>
      <c r="S187" s="669"/>
      <c r="T187" s="669"/>
      <c r="U187" s="669"/>
      <c r="V187" s="669"/>
      <c r="W187" s="669"/>
      <c r="X187" s="669">
        <v>1096</v>
      </c>
      <c r="Y187" s="669"/>
      <c r="Z187" s="669"/>
      <c r="AA187" s="669"/>
      <c r="AB187" s="669"/>
      <c r="AC187" s="669"/>
      <c r="AD187" s="669"/>
      <c r="AE187" s="669"/>
      <c r="AF187" s="669"/>
      <c r="AG187" s="625">
        <f t="shared" si="23"/>
        <v>1096</v>
      </c>
    </row>
    <row r="188" spans="1:33" ht="18" customHeight="1">
      <c r="A188" s="668" t="s">
        <v>60</v>
      </c>
      <c r="B188" s="633" t="s">
        <v>157</v>
      </c>
      <c r="C188" s="667"/>
      <c r="D188" s="647"/>
      <c r="E188" s="667"/>
      <c r="F188" s="667"/>
      <c r="G188" s="667"/>
      <c r="H188" s="667"/>
      <c r="I188" s="667"/>
      <c r="J188" s="667"/>
      <c r="K188" s="667"/>
      <c r="L188" s="667"/>
      <c r="M188" s="667"/>
      <c r="N188" s="667"/>
      <c r="O188" s="667"/>
      <c r="P188" s="667"/>
      <c r="Q188" s="667"/>
      <c r="R188" s="667"/>
      <c r="S188" s="667"/>
      <c r="T188" s="667"/>
      <c r="U188" s="667"/>
      <c r="V188" s="667"/>
      <c r="W188" s="667"/>
      <c r="X188" s="667">
        <v>658</v>
      </c>
      <c r="Y188" s="667"/>
      <c r="Z188" s="667"/>
      <c r="AA188" s="667"/>
      <c r="AB188" s="667"/>
      <c r="AC188" s="667"/>
      <c r="AD188" s="667"/>
      <c r="AE188" s="667"/>
      <c r="AF188" s="667"/>
      <c r="AG188" s="625">
        <f t="shared" si="23"/>
        <v>658</v>
      </c>
    </row>
    <row r="189" spans="1:33" ht="18" customHeight="1">
      <c r="A189" s="668" t="s">
        <v>61</v>
      </c>
      <c r="B189" s="633" t="s">
        <v>158</v>
      </c>
      <c r="C189" s="669"/>
      <c r="D189" s="646"/>
      <c r="E189" s="669"/>
      <c r="F189" s="669"/>
      <c r="G189" s="669"/>
      <c r="H189" s="669"/>
      <c r="I189" s="669"/>
      <c r="J189" s="669"/>
      <c r="K189" s="669"/>
      <c r="L189" s="669"/>
      <c r="M189" s="669"/>
      <c r="N189" s="669"/>
      <c r="O189" s="669"/>
      <c r="P189" s="669"/>
      <c r="Q189" s="669"/>
      <c r="R189" s="669"/>
      <c r="S189" s="669"/>
      <c r="T189" s="669"/>
      <c r="U189" s="669"/>
      <c r="V189" s="669"/>
      <c r="W189" s="669"/>
      <c r="X189" s="669">
        <v>1972</v>
      </c>
      <c r="Y189" s="669"/>
      <c r="Z189" s="669"/>
      <c r="AA189" s="669"/>
      <c r="AB189" s="669"/>
      <c r="AC189" s="669"/>
      <c r="AD189" s="669"/>
      <c r="AE189" s="669"/>
      <c r="AF189" s="669"/>
      <c r="AG189" s="625">
        <f t="shared" si="23"/>
        <v>1972</v>
      </c>
    </row>
    <row r="190" spans="1:33" ht="18" customHeight="1">
      <c r="A190" s="668" t="s">
        <v>62</v>
      </c>
      <c r="B190" s="633" t="s">
        <v>159</v>
      </c>
      <c r="C190" s="669"/>
      <c r="D190" s="646"/>
      <c r="E190" s="669"/>
      <c r="F190" s="669"/>
      <c r="G190" s="669"/>
      <c r="H190" s="669"/>
      <c r="I190" s="669"/>
      <c r="J190" s="669"/>
      <c r="K190" s="669"/>
      <c r="L190" s="669"/>
      <c r="M190" s="669"/>
      <c r="N190" s="669"/>
      <c r="O190" s="669"/>
      <c r="P190" s="669"/>
      <c r="Q190" s="669"/>
      <c r="R190" s="669"/>
      <c r="S190" s="669"/>
      <c r="T190" s="669"/>
      <c r="U190" s="669"/>
      <c r="V190" s="669"/>
      <c r="W190" s="669"/>
      <c r="X190" s="669">
        <v>439</v>
      </c>
      <c r="Y190" s="669"/>
      <c r="Z190" s="669"/>
      <c r="AA190" s="669"/>
      <c r="AB190" s="669"/>
      <c r="AC190" s="669"/>
      <c r="AD190" s="669"/>
      <c r="AE190" s="669"/>
      <c r="AF190" s="669"/>
      <c r="AG190" s="625">
        <f t="shared" si="23"/>
        <v>439</v>
      </c>
    </row>
    <row r="191" spans="1:33" ht="18" customHeight="1">
      <c r="A191" s="668" t="s">
        <v>63</v>
      </c>
      <c r="B191" s="633" t="s">
        <v>160</v>
      </c>
      <c r="C191" s="667"/>
      <c r="D191" s="647"/>
      <c r="E191" s="667"/>
      <c r="F191" s="667"/>
      <c r="G191" s="667"/>
      <c r="H191" s="667"/>
      <c r="I191" s="667"/>
      <c r="J191" s="667"/>
      <c r="K191" s="667"/>
      <c r="L191" s="667"/>
      <c r="M191" s="667"/>
      <c r="N191" s="667"/>
      <c r="O191" s="667"/>
      <c r="P191" s="667"/>
      <c r="Q191" s="667"/>
      <c r="R191" s="667"/>
      <c r="S191" s="667"/>
      <c r="T191" s="667"/>
      <c r="U191" s="667"/>
      <c r="V191" s="667"/>
      <c r="W191" s="667"/>
      <c r="X191" s="667">
        <v>877</v>
      </c>
      <c r="Y191" s="667"/>
      <c r="Z191" s="667"/>
      <c r="AA191" s="667"/>
      <c r="AB191" s="667"/>
      <c r="AC191" s="667"/>
      <c r="AD191" s="667"/>
      <c r="AE191" s="667"/>
      <c r="AF191" s="667"/>
      <c r="AG191" s="625">
        <f t="shared" si="23"/>
        <v>877</v>
      </c>
    </row>
    <row r="192" spans="1:33" ht="18" customHeight="1">
      <c r="A192" s="668" t="s">
        <v>64</v>
      </c>
      <c r="B192" s="633" t="s">
        <v>161</v>
      </c>
      <c r="C192" s="669"/>
      <c r="D192" s="646"/>
      <c r="E192" s="669"/>
      <c r="F192" s="669"/>
      <c r="G192" s="669"/>
      <c r="H192" s="669"/>
      <c r="I192" s="669"/>
      <c r="J192" s="669"/>
      <c r="K192" s="669"/>
      <c r="L192" s="669"/>
      <c r="M192" s="669"/>
      <c r="N192" s="669"/>
      <c r="O192" s="669"/>
      <c r="P192" s="669"/>
      <c r="Q192" s="669"/>
      <c r="R192" s="669"/>
      <c r="S192" s="669"/>
      <c r="T192" s="669"/>
      <c r="U192" s="669"/>
      <c r="V192" s="669"/>
      <c r="W192" s="669"/>
      <c r="X192" s="669">
        <v>877</v>
      </c>
      <c r="Y192" s="669"/>
      <c r="Z192" s="669"/>
      <c r="AA192" s="669"/>
      <c r="AB192" s="669"/>
      <c r="AC192" s="669"/>
      <c r="AD192" s="669"/>
      <c r="AE192" s="669"/>
      <c r="AF192" s="669"/>
      <c r="AG192" s="625">
        <f t="shared" si="23"/>
        <v>877</v>
      </c>
    </row>
    <row r="193" spans="1:33" ht="18" customHeight="1">
      <c r="A193" s="668" t="s">
        <v>65</v>
      </c>
      <c r="B193" s="633" t="s">
        <v>162</v>
      </c>
      <c r="C193" s="667"/>
      <c r="D193" s="647"/>
      <c r="E193" s="667"/>
      <c r="F193" s="667"/>
      <c r="G193" s="667"/>
      <c r="H193" s="667"/>
      <c r="I193" s="667"/>
      <c r="J193" s="667"/>
      <c r="K193" s="667"/>
      <c r="L193" s="667"/>
      <c r="M193" s="667"/>
      <c r="N193" s="667"/>
      <c r="O193" s="667"/>
      <c r="P193" s="667"/>
      <c r="Q193" s="667"/>
      <c r="R193" s="667"/>
      <c r="S193" s="667"/>
      <c r="T193" s="667"/>
      <c r="U193" s="667"/>
      <c r="V193" s="667"/>
      <c r="W193" s="667"/>
      <c r="X193" s="667">
        <v>658</v>
      </c>
      <c r="Y193" s="667"/>
      <c r="Z193" s="667"/>
      <c r="AA193" s="667"/>
      <c r="AB193" s="667"/>
      <c r="AC193" s="667"/>
      <c r="AD193" s="667"/>
      <c r="AE193" s="667"/>
      <c r="AF193" s="667"/>
      <c r="AG193" s="625">
        <f t="shared" si="23"/>
        <v>658</v>
      </c>
    </row>
    <row r="194" spans="1:33" ht="18" customHeight="1">
      <c r="A194" s="668" t="s">
        <v>66</v>
      </c>
      <c r="B194" s="633" t="s">
        <v>163</v>
      </c>
      <c r="C194" s="669"/>
      <c r="D194" s="646"/>
      <c r="E194" s="669"/>
      <c r="F194" s="669"/>
      <c r="G194" s="669"/>
      <c r="H194" s="669"/>
      <c r="I194" s="669"/>
      <c r="J194" s="669"/>
      <c r="K194" s="669"/>
      <c r="L194" s="669"/>
      <c r="M194" s="669"/>
      <c r="N194" s="669"/>
      <c r="O194" s="669"/>
      <c r="P194" s="669"/>
      <c r="Q194" s="669"/>
      <c r="R194" s="669"/>
      <c r="S194" s="669"/>
      <c r="T194" s="669"/>
      <c r="U194" s="669"/>
      <c r="V194" s="669"/>
      <c r="W194" s="669"/>
      <c r="X194" s="669">
        <v>439</v>
      </c>
      <c r="Y194" s="669"/>
      <c r="Z194" s="669"/>
      <c r="AA194" s="669"/>
      <c r="AB194" s="669"/>
      <c r="AC194" s="669"/>
      <c r="AD194" s="669"/>
      <c r="AE194" s="669"/>
      <c r="AF194" s="669"/>
      <c r="AG194" s="625">
        <f t="shared" si="23"/>
        <v>439</v>
      </c>
    </row>
    <row r="195" spans="1:33" ht="18" customHeight="1">
      <c r="A195" s="668" t="s">
        <v>67</v>
      </c>
      <c r="B195" s="633" t="s">
        <v>164</v>
      </c>
      <c r="C195" s="667"/>
      <c r="D195" s="647"/>
      <c r="E195" s="667"/>
      <c r="F195" s="667"/>
      <c r="G195" s="667"/>
      <c r="H195" s="667"/>
      <c r="I195" s="667"/>
      <c r="J195" s="667"/>
      <c r="K195" s="667"/>
      <c r="L195" s="667"/>
      <c r="M195" s="667"/>
      <c r="N195" s="667"/>
      <c r="O195" s="667"/>
      <c r="P195" s="667"/>
      <c r="Q195" s="667"/>
      <c r="R195" s="667"/>
      <c r="S195" s="667"/>
      <c r="T195" s="667"/>
      <c r="U195" s="667"/>
      <c r="V195" s="667"/>
      <c r="W195" s="667"/>
      <c r="X195" s="667">
        <v>1096</v>
      </c>
      <c r="Y195" s="667"/>
      <c r="Z195" s="667"/>
      <c r="AA195" s="667"/>
      <c r="AB195" s="667"/>
      <c r="AC195" s="667"/>
      <c r="AD195" s="667"/>
      <c r="AE195" s="667"/>
      <c r="AF195" s="667"/>
      <c r="AG195" s="625">
        <f t="shared" si="23"/>
        <v>1096</v>
      </c>
    </row>
    <row r="196" spans="1:33" ht="18" customHeight="1">
      <c r="A196" s="668" t="s">
        <v>68</v>
      </c>
      <c r="B196" s="633" t="s">
        <v>165</v>
      </c>
      <c r="C196" s="669"/>
      <c r="D196" s="646"/>
      <c r="E196" s="669"/>
      <c r="F196" s="669"/>
      <c r="G196" s="669"/>
      <c r="H196" s="669"/>
      <c r="I196" s="669"/>
      <c r="J196" s="669"/>
      <c r="K196" s="669"/>
      <c r="L196" s="669"/>
      <c r="M196" s="669"/>
      <c r="N196" s="669"/>
      <c r="O196" s="669"/>
      <c r="P196" s="669"/>
      <c r="Q196" s="669"/>
      <c r="R196" s="669"/>
      <c r="S196" s="669"/>
      <c r="T196" s="669"/>
      <c r="U196" s="669"/>
      <c r="V196" s="669"/>
      <c r="W196" s="669"/>
      <c r="X196" s="669">
        <v>1753</v>
      </c>
      <c r="Y196" s="669"/>
      <c r="Z196" s="669"/>
      <c r="AA196" s="669"/>
      <c r="AB196" s="669"/>
      <c r="AC196" s="669"/>
      <c r="AD196" s="669"/>
      <c r="AE196" s="669"/>
      <c r="AF196" s="669"/>
      <c r="AG196" s="625">
        <f t="shared" si="23"/>
        <v>1753</v>
      </c>
    </row>
    <row r="197" spans="1:33" ht="18" customHeight="1">
      <c r="A197" s="668" t="s">
        <v>69</v>
      </c>
      <c r="B197" s="633" t="s">
        <v>166</v>
      </c>
      <c r="C197" s="667"/>
      <c r="D197" s="647"/>
      <c r="E197" s="667"/>
      <c r="F197" s="667"/>
      <c r="G197" s="667"/>
      <c r="H197" s="667"/>
      <c r="I197" s="667"/>
      <c r="J197" s="667"/>
      <c r="K197" s="667"/>
      <c r="L197" s="667"/>
      <c r="M197" s="667"/>
      <c r="N197" s="667"/>
      <c r="O197" s="667"/>
      <c r="P197" s="667"/>
      <c r="Q197" s="667"/>
      <c r="R197" s="667"/>
      <c r="S197" s="667"/>
      <c r="T197" s="667"/>
      <c r="U197" s="667"/>
      <c r="V197" s="667"/>
      <c r="W197" s="667"/>
      <c r="X197" s="667">
        <v>1315</v>
      </c>
      <c r="Y197" s="667"/>
      <c r="Z197" s="667"/>
      <c r="AA197" s="667"/>
      <c r="AB197" s="667"/>
      <c r="AC197" s="667"/>
      <c r="AD197" s="667"/>
      <c r="AE197" s="667"/>
      <c r="AF197" s="667"/>
      <c r="AG197" s="625">
        <f t="shared" si="23"/>
        <v>1315</v>
      </c>
    </row>
    <row r="198" spans="1:33" ht="18" customHeight="1">
      <c r="A198" s="668" t="s">
        <v>70</v>
      </c>
      <c r="B198" s="633" t="s">
        <v>167</v>
      </c>
      <c r="C198" s="669"/>
      <c r="D198" s="646"/>
      <c r="E198" s="669"/>
      <c r="F198" s="669"/>
      <c r="G198" s="669"/>
      <c r="H198" s="669"/>
      <c r="I198" s="669"/>
      <c r="J198" s="669"/>
      <c r="K198" s="669"/>
      <c r="L198" s="669"/>
      <c r="M198" s="669"/>
      <c r="N198" s="669"/>
      <c r="O198" s="669"/>
      <c r="P198" s="669"/>
      <c r="Q198" s="669"/>
      <c r="R198" s="669"/>
      <c r="S198" s="669"/>
      <c r="T198" s="669"/>
      <c r="U198" s="669"/>
      <c r="V198" s="669"/>
      <c r="W198" s="669"/>
      <c r="X198" s="669">
        <v>1972</v>
      </c>
      <c r="Y198" s="669"/>
      <c r="Z198" s="669"/>
      <c r="AA198" s="669"/>
      <c r="AB198" s="669"/>
      <c r="AC198" s="669"/>
      <c r="AD198" s="669"/>
      <c r="AE198" s="669"/>
      <c r="AF198" s="669"/>
      <c r="AG198" s="625">
        <f t="shared" si="23"/>
        <v>1972</v>
      </c>
    </row>
    <row r="199" spans="1:33" ht="18" customHeight="1">
      <c r="A199" s="668" t="s">
        <v>71</v>
      </c>
      <c r="B199" s="633" t="s">
        <v>168</v>
      </c>
      <c r="C199" s="667"/>
      <c r="D199" s="647"/>
      <c r="E199" s="667"/>
      <c r="F199" s="667"/>
      <c r="G199" s="667"/>
      <c r="H199" s="667"/>
      <c r="I199" s="667"/>
      <c r="J199" s="667"/>
      <c r="K199" s="667"/>
      <c r="L199" s="667"/>
      <c r="M199" s="667"/>
      <c r="N199" s="667"/>
      <c r="O199" s="667"/>
      <c r="P199" s="667"/>
      <c r="Q199" s="667"/>
      <c r="R199" s="667"/>
      <c r="S199" s="667"/>
      <c r="T199" s="667"/>
      <c r="U199" s="667"/>
      <c r="V199" s="667"/>
      <c r="W199" s="667"/>
      <c r="X199" s="667">
        <v>220</v>
      </c>
      <c r="Y199" s="667"/>
      <c r="Z199" s="667"/>
      <c r="AA199" s="667"/>
      <c r="AB199" s="667"/>
      <c r="AC199" s="667"/>
      <c r="AD199" s="667"/>
      <c r="AE199" s="667"/>
      <c r="AF199" s="667"/>
      <c r="AG199" s="625">
        <f t="shared" si="23"/>
        <v>220</v>
      </c>
    </row>
    <row r="200" spans="1:33" ht="18" customHeight="1">
      <c r="A200" s="668" t="s">
        <v>72</v>
      </c>
      <c r="B200" s="633" t="s">
        <v>169</v>
      </c>
      <c r="C200" s="669"/>
      <c r="D200" s="646"/>
      <c r="E200" s="669"/>
      <c r="F200" s="669"/>
      <c r="G200" s="669"/>
      <c r="H200" s="669"/>
      <c r="I200" s="669"/>
      <c r="J200" s="669"/>
      <c r="K200" s="669"/>
      <c r="L200" s="669"/>
      <c r="M200" s="669"/>
      <c r="N200" s="669"/>
      <c r="O200" s="669"/>
      <c r="P200" s="669"/>
      <c r="Q200" s="669"/>
      <c r="R200" s="669"/>
      <c r="S200" s="669"/>
      <c r="T200" s="669"/>
      <c r="U200" s="669"/>
      <c r="V200" s="669"/>
      <c r="W200" s="669"/>
      <c r="X200" s="669">
        <v>1315</v>
      </c>
      <c r="Y200" s="669"/>
      <c r="Z200" s="669"/>
      <c r="AA200" s="669"/>
      <c r="AB200" s="669"/>
      <c r="AC200" s="669"/>
      <c r="AD200" s="669"/>
      <c r="AE200" s="669"/>
      <c r="AF200" s="669"/>
      <c r="AG200" s="625">
        <f t="shared" si="23"/>
        <v>1315</v>
      </c>
    </row>
    <row r="201" spans="1:33" ht="18" customHeight="1">
      <c r="A201" s="668" t="s">
        <v>73</v>
      </c>
      <c r="B201" s="633" t="s">
        <v>170</v>
      </c>
      <c r="C201" s="667"/>
      <c r="D201" s="647"/>
      <c r="E201" s="667"/>
      <c r="F201" s="667"/>
      <c r="G201" s="667"/>
      <c r="H201" s="667"/>
      <c r="I201" s="667"/>
      <c r="J201" s="667"/>
      <c r="K201" s="667"/>
      <c r="L201" s="667"/>
      <c r="M201" s="667"/>
      <c r="N201" s="667"/>
      <c r="O201" s="667"/>
      <c r="P201" s="667"/>
      <c r="Q201" s="667"/>
      <c r="R201" s="667"/>
      <c r="S201" s="667"/>
      <c r="T201" s="667"/>
      <c r="U201" s="667"/>
      <c r="V201" s="667"/>
      <c r="W201" s="667"/>
      <c r="X201" s="667">
        <v>877</v>
      </c>
      <c r="Y201" s="667"/>
      <c r="Z201" s="667"/>
      <c r="AA201" s="667"/>
      <c r="AB201" s="667"/>
      <c r="AC201" s="667"/>
      <c r="AD201" s="667"/>
      <c r="AE201" s="667"/>
      <c r="AF201" s="667"/>
      <c r="AG201" s="625">
        <f aca="true" t="shared" si="24" ref="AG201:AG232">SUM(C201:AF201)-R201</f>
        <v>877</v>
      </c>
    </row>
    <row r="202" spans="1:33" ht="18" customHeight="1">
      <c r="A202" s="668" t="s">
        <v>74</v>
      </c>
      <c r="B202" s="633" t="s">
        <v>171</v>
      </c>
      <c r="C202" s="669"/>
      <c r="D202" s="646"/>
      <c r="E202" s="669"/>
      <c r="F202" s="669"/>
      <c r="G202" s="669"/>
      <c r="H202" s="669"/>
      <c r="I202" s="669"/>
      <c r="J202" s="669"/>
      <c r="K202" s="669"/>
      <c r="L202" s="669"/>
      <c r="M202" s="669"/>
      <c r="N202" s="669"/>
      <c r="O202" s="669"/>
      <c r="P202" s="669"/>
      <c r="Q202" s="669"/>
      <c r="R202" s="669"/>
      <c r="S202" s="669"/>
      <c r="T202" s="669"/>
      <c r="U202" s="669"/>
      <c r="V202" s="669"/>
      <c r="W202" s="669"/>
      <c r="X202" s="669">
        <v>1315</v>
      </c>
      <c r="Y202" s="669"/>
      <c r="Z202" s="669"/>
      <c r="AA202" s="669"/>
      <c r="AB202" s="669"/>
      <c r="AC202" s="669"/>
      <c r="AD202" s="669"/>
      <c r="AE202" s="669"/>
      <c r="AF202" s="669"/>
      <c r="AG202" s="625">
        <f t="shared" si="24"/>
        <v>1315</v>
      </c>
    </row>
    <row r="203" spans="1:33" ht="18" customHeight="1">
      <c r="A203" s="668" t="s">
        <v>75</v>
      </c>
      <c r="B203" s="633" t="s">
        <v>141</v>
      </c>
      <c r="C203" s="667"/>
      <c r="D203" s="647"/>
      <c r="E203" s="667"/>
      <c r="F203" s="667"/>
      <c r="G203" s="667"/>
      <c r="H203" s="667"/>
      <c r="I203" s="667"/>
      <c r="J203" s="667"/>
      <c r="K203" s="667"/>
      <c r="L203" s="667"/>
      <c r="M203" s="667"/>
      <c r="N203" s="667"/>
      <c r="O203" s="667"/>
      <c r="P203" s="667"/>
      <c r="Q203" s="667"/>
      <c r="R203" s="667"/>
      <c r="S203" s="667"/>
      <c r="T203" s="667"/>
      <c r="U203" s="667"/>
      <c r="V203" s="667"/>
      <c r="W203" s="667"/>
      <c r="X203" s="667">
        <v>876</v>
      </c>
      <c r="Y203" s="667"/>
      <c r="Z203" s="667"/>
      <c r="AA203" s="667"/>
      <c r="AB203" s="667"/>
      <c r="AC203" s="667"/>
      <c r="AD203" s="667"/>
      <c r="AE203" s="667"/>
      <c r="AF203" s="667"/>
      <c r="AG203" s="625">
        <f t="shared" si="24"/>
        <v>876</v>
      </c>
    </row>
    <row r="204" spans="1:33" ht="18" customHeight="1">
      <c r="A204" s="668" t="s">
        <v>76</v>
      </c>
      <c r="B204" s="633" t="s">
        <v>142</v>
      </c>
      <c r="C204" s="669"/>
      <c r="D204" s="646"/>
      <c r="E204" s="669"/>
      <c r="F204" s="669"/>
      <c r="G204" s="669"/>
      <c r="H204" s="669"/>
      <c r="I204" s="669"/>
      <c r="J204" s="669"/>
      <c r="K204" s="669"/>
      <c r="L204" s="669"/>
      <c r="M204" s="669"/>
      <c r="N204" s="669"/>
      <c r="O204" s="669"/>
      <c r="P204" s="669"/>
      <c r="Q204" s="669"/>
      <c r="R204" s="669"/>
      <c r="S204" s="669"/>
      <c r="T204" s="669"/>
      <c r="U204" s="669"/>
      <c r="V204" s="669"/>
      <c r="W204" s="669"/>
      <c r="X204" s="669">
        <v>438</v>
      </c>
      <c r="Y204" s="669"/>
      <c r="Z204" s="669"/>
      <c r="AA204" s="669"/>
      <c r="AB204" s="669"/>
      <c r="AC204" s="669"/>
      <c r="AD204" s="669"/>
      <c r="AE204" s="669"/>
      <c r="AF204" s="669"/>
      <c r="AG204" s="625">
        <f t="shared" si="24"/>
        <v>438</v>
      </c>
    </row>
    <row r="205" spans="1:33" ht="18" customHeight="1">
      <c r="A205" s="668" t="s">
        <v>77</v>
      </c>
      <c r="B205" s="633" t="s">
        <v>172</v>
      </c>
      <c r="C205" s="667"/>
      <c r="D205" s="647"/>
      <c r="E205" s="667"/>
      <c r="F205" s="667"/>
      <c r="G205" s="667"/>
      <c r="H205" s="667"/>
      <c r="I205" s="667"/>
      <c r="J205" s="667"/>
      <c r="K205" s="667"/>
      <c r="L205" s="667"/>
      <c r="M205" s="667"/>
      <c r="N205" s="667"/>
      <c r="O205" s="667"/>
      <c r="P205" s="667"/>
      <c r="Q205" s="667"/>
      <c r="R205" s="667"/>
      <c r="S205" s="667"/>
      <c r="T205" s="667"/>
      <c r="U205" s="667"/>
      <c r="V205" s="667"/>
      <c r="W205" s="667"/>
      <c r="X205" s="667">
        <v>438</v>
      </c>
      <c r="Y205" s="667"/>
      <c r="Z205" s="667"/>
      <c r="AA205" s="667"/>
      <c r="AB205" s="667"/>
      <c r="AC205" s="667"/>
      <c r="AD205" s="667"/>
      <c r="AE205" s="667"/>
      <c r="AF205" s="667"/>
      <c r="AG205" s="625">
        <f t="shared" si="24"/>
        <v>438</v>
      </c>
    </row>
    <row r="206" spans="1:33" ht="18" customHeight="1">
      <c r="A206" s="668" t="s">
        <v>78</v>
      </c>
      <c r="B206" s="633" t="s">
        <v>173</v>
      </c>
      <c r="C206" s="669"/>
      <c r="D206" s="646"/>
      <c r="E206" s="669"/>
      <c r="F206" s="669"/>
      <c r="G206" s="669"/>
      <c r="H206" s="669"/>
      <c r="I206" s="669"/>
      <c r="J206" s="669"/>
      <c r="K206" s="669"/>
      <c r="L206" s="669"/>
      <c r="M206" s="669"/>
      <c r="N206" s="669"/>
      <c r="O206" s="669"/>
      <c r="P206" s="669"/>
      <c r="Q206" s="669"/>
      <c r="R206" s="669"/>
      <c r="S206" s="669"/>
      <c r="T206" s="669"/>
      <c r="U206" s="669"/>
      <c r="V206" s="669"/>
      <c r="W206" s="669"/>
      <c r="X206" s="669">
        <v>1095</v>
      </c>
      <c r="Y206" s="669"/>
      <c r="Z206" s="669"/>
      <c r="AA206" s="669"/>
      <c r="AB206" s="669"/>
      <c r="AC206" s="669"/>
      <c r="AD206" s="669"/>
      <c r="AE206" s="669"/>
      <c r="AF206" s="669"/>
      <c r="AG206" s="625">
        <f t="shared" si="24"/>
        <v>1095</v>
      </c>
    </row>
    <row r="207" spans="1:33" ht="18" customHeight="1">
      <c r="A207" s="668" t="s">
        <v>79</v>
      </c>
      <c r="B207" s="633" t="s">
        <v>174</v>
      </c>
      <c r="C207" s="667"/>
      <c r="D207" s="647"/>
      <c r="E207" s="667"/>
      <c r="F207" s="667"/>
      <c r="G207" s="667"/>
      <c r="H207" s="667"/>
      <c r="I207" s="667"/>
      <c r="J207" s="667"/>
      <c r="K207" s="667"/>
      <c r="L207" s="667"/>
      <c r="M207" s="667"/>
      <c r="N207" s="667"/>
      <c r="O207" s="667"/>
      <c r="P207" s="667"/>
      <c r="Q207" s="667"/>
      <c r="R207" s="667"/>
      <c r="S207" s="667"/>
      <c r="T207" s="667"/>
      <c r="U207" s="667"/>
      <c r="V207" s="667"/>
      <c r="W207" s="667"/>
      <c r="X207" s="667">
        <v>876</v>
      </c>
      <c r="Y207" s="667"/>
      <c r="Z207" s="667"/>
      <c r="AA207" s="667"/>
      <c r="AB207" s="667"/>
      <c r="AC207" s="667"/>
      <c r="AD207" s="667"/>
      <c r="AE207" s="667"/>
      <c r="AF207" s="667"/>
      <c r="AG207" s="625">
        <f t="shared" si="24"/>
        <v>876</v>
      </c>
    </row>
    <row r="208" spans="1:33" ht="18" customHeight="1">
      <c r="A208" s="668" t="s">
        <v>80</v>
      </c>
      <c r="B208" s="633" t="s">
        <v>175</v>
      </c>
      <c r="C208" s="669"/>
      <c r="D208" s="646"/>
      <c r="E208" s="669"/>
      <c r="F208" s="669"/>
      <c r="G208" s="669"/>
      <c r="H208" s="669"/>
      <c r="I208" s="669"/>
      <c r="J208" s="669"/>
      <c r="K208" s="669"/>
      <c r="L208" s="669"/>
      <c r="M208" s="669"/>
      <c r="N208" s="669"/>
      <c r="O208" s="669"/>
      <c r="P208" s="669"/>
      <c r="Q208" s="669"/>
      <c r="R208" s="669"/>
      <c r="S208" s="669"/>
      <c r="T208" s="669"/>
      <c r="U208" s="669"/>
      <c r="V208" s="669"/>
      <c r="W208" s="669"/>
      <c r="X208" s="669">
        <v>1533</v>
      </c>
      <c r="Y208" s="669"/>
      <c r="Z208" s="669"/>
      <c r="AA208" s="669"/>
      <c r="AB208" s="669"/>
      <c r="AC208" s="669"/>
      <c r="AD208" s="669"/>
      <c r="AE208" s="669"/>
      <c r="AF208" s="669"/>
      <c r="AG208" s="625">
        <f t="shared" si="24"/>
        <v>1533</v>
      </c>
    </row>
    <row r="209" spans="1:33" ht="18" customHeight="1">
      <c r="A209" s="668" t="s">
        <v>81</v>
      </c>
      <c r="B209" s="633" t="s">
        <v>176</v>
      </c>
      <c r="C209" s="667"/>
      <c r="D209" s="647"/>
      <c r="E209" s="667"/>
      <c r="F209" s="667"/>
      <c r="G209" s="667"/>
      <c r="H209" s="667"/>
      <c r="I209" s="667"/>
      <c r="J209" s="667"/>
      <c r="K209" s="667"/>
      <c r="L209" s="667"/>
      <c r="M209" s="667"/>
      <c r="N209" s="667"/>
      <c r="O209" s="667"/>
      <c r="P209" s="667"/>
      <c r="Q209" s="667"/>
      <c r="R209" s="667"/>
      <c r="S209" s="667"/>
      <c r="T209" s="667"/>
      <c r="U209" s="667"/>
      <c r="V209" s="667"/>
      <c r="W209" s="667"/>
      <c r="X209" s="667">
        <v>876</v>
      </c>
      <c r="Y209" s="667"/>
      <c r="Z209" s="667"/>
      <c r="AA209" s="667"/>
      <c r="AB209" s="667"/>
      <c r="AC209" s="667"/>
      <c r="AD209" s="667"/>
      <c r="AE209" s="667"/>
      <c r="AF209" s="667"/>
      <c r="AG209" s="625">
        <f t="shared" si="24"/>
        <v>876</v>
      </c>
    </row>
    <row r="210" spans="1:33" ht="18" customHeight="1">
      <c r="A210" s="668" t="s">
        <v>82</v>
      </c>
      <c r="B210" s="633" t="s">
        <v>177</v>
      </c>
      <c r="C210" s="669"/>
      <c r="D210" s="646"/>
      <c r="E210" s="669"/>
      <c r="F210" s="669"/>
      <c r="G210" s="669"/>
      <c r="H210" s="669"/>
      <c r="I210" s="669"/>
      <c r="J210" s="669"/>
      <c r="K210" s="669"/>
      <c r="L210" s="669"/>
      <c r="M210" s="669"/>
      <c r="N210" s="669"/>
      <c r="O210" s="669"/>
      <c r="P210" s="669"/>
      <c r="Q210" s="669"/>
      <c r="R210" s="669"/>
      <c r="S210" s="669"/>
      <c r="T210" s="669"/>
      <c r="U210" s="669"/>
      <c r="V210" s="669"/>
      <c r="W210" s="669"/>
      <c r="X210" s="669">
        <v>1095</v>
      </c>
      <c r="Y210" s="669"/>
      <c r="Z210" s="669"/>
      <c r="AA210" s="669"/>
      <c r="AB210" s="669"/>
      <c r="AC210" s="669"/>
      <c r="AD210" s="669"/>
      <c r="AE210" s="669"/>
      <c r="AF210" s="669"/>
      <c r="AG210" s="625">
        <f t="shared" si="24"/>
        <v>1095</v>
      </c>
    </row>
    <row r="211" spans="1:33" ht="18" customHeight="1">
      <c r="A211" s="668" t="s">
        <v>83</v>
      </c>
      <c r="B211" s="633" t="s">
        <v>178</v>
      </c>
      <c r="C211" s="667"/>
      <c r="D211" s="647"/>
      <c r="E211" s="667"/>
      <c r="F211" s="667"/>
      <c r="G211" s="667"/>
      <c r="H211" s="667"/>
      <c r="I211" s="667"/>
      <c r="J211" s="667"/>
      <c r="K211" s="667"/>
      <c r="L211" s="667"/>
      <c r="M211" s="667"/>
      <c r="N211" s="667"/>
      <c r="O211" s="667"/>
      <c r="P211" s="667"/>
      <c r="Q211" s="667"/>
      <c r="R211" s="667"/>
      <c r="S211" s="667"/>
      <c r="T211" s="667"/>
      <c r="U211" s="667"/>
      <c r="V211" s="667"/>
      <c r="W211" s="667"/>
      <c r="X211" s="667">
        <v>1314</v>
      </c>
      <c r="Y211" s="667"/>
      <c r="Z211" s="667"/>
      <c r="AA211" s="667"/>
      <c r="AB211" s="667"/>
      <c r="AC211" s="667"/>
      <c r="AD211" s="667"/>
      <c r="AE211" s="667"/>
      <c r="AF211" s="667"/>
      <c r="AG211" s="625">
        <f t="shared" si="24"/>
        <v>1314</v>
      </c>
    </row>
    <row r="212" spans="1:33" ht="18" customHeight="1">
      <c r="A212" s="668" t="s">
        <v>84</v>
      </c>
      <c r="B212" s="633" t="s">
        <v>179</v>
      </c>
      <c r="C212" s="669"/>
      <c r="D212" s="646"/>
      <c r="E212" s="669"/>
      <c r="F212" s="669"/>
      <c r="G212" s="669"/>
      <c r="H212" s="669"/>
      <c r="I212" s="669"/>
      <c r="J212" s="669"/>
      <c r="K212" s="669"/>
      <c r="L212" s="669"/>
      <c r="M212" s="669"/>
      <c r="N212" s="669"/>
      <c r="O212" s="669"/>
      <c r="P212" s="669"/>
      <c r="Q212" s="669"/>
      <c r="R212" s="669"/>
      <c r="S212" s="669"/>
      <c r="T212" s="669"/>
      <c r="U212" s="669"/>
      <c r="V212" s="669"/>
      <c r="W212" s="669"/>
      <c r="X212" s="669">
        <v>657</v>
      </c>
      <c r="Y212" s="669"/>
      <c r="Z212" s="669"/>
      <c r="AA212" s="669"/>
      <c r="AB212" s="669"/>
      <c r="AC212" s="669"/>
      <c r="AD212" s="669"/>
      <c r="AE212" s="669"/>
      <c r="AF212" s="669"/>
      <c r="AG212" s="625">
        <f t="shared" si="24"/>
        <v>657</v>
      </c>
    </row>
    <row r="213" spans="1:33" ht="18" customHeight="1">
      <c r="A213" s="668" t="s">
        <v>85</v>
      </c>
      <c r="B213" s="633" t="s">
        <v>180</v>
      </c>
      <c r="C213" s="667"/>
      <c r="D213" s="647"/>
      <c r="E213" s="667"/>
      <c r="F213" s="667"/>
      <c r="G213" s="667"/>
      <c r="H213" s="667"/>
      <c r="I213" s="667"/>
      <c r="J213" s="667"/>
      <c r="K213" s="667"/>
      <c r="L213" s="667"/>
      <c r="M213" s="667"/>
      <c r="N213" s="667"/>
      <c r="O213" s="667"/>
      <c r="P213" s="667"/>
      <c r="Q213" s="667"/>
      <c r="R213" s="667"/>
      <c r="S213" s="667"/>
      <c r="T213" s="667"/>
      <c r="U213" s="667"/>
      <c r="V213" s="667"/>
      <c r="W213" s="667"/>
      <c r="X213" s="667">
        <v>876</v>
      </c>
      <c r="Y213" s="667"/>
      <c r="Z213" s="667"/>
      <c r="AA213" s="667"/>
      <c r="AB213" s="667"/>
      <c r="AC213" s="667"/>
      <c r="AD213" s="667"/>
      <c r="AE213" s="667"/>
      <c r="AF213" s="667"/>
      <c r="AG213" s="625">
        <f t="shared" si="24"/>
        <v>876</v>
      </c>
    </row>
    <row r="214" spans="1:33" ht="18" customHeight="1">
      <c r="A214" s="668" t="s">
        <v>86</v>
      </c>
      <c r="B214" s="633" t="s">
        <v>181</v>
      </c>
      <c r="C214" s="669"/>
      <c r="D214" s="646"/>
      <c r="E214" s="669"/>
      <c r="F214" s="669"/>
      <c r="G214" s="669"/>
      <c r="H214" s="669"/>
      <c r="I214" s="669"/>
      <c r="J214" s="669"/>
      <c r="K214" s="669"/>
      <c r="L214" s="669"/>
      <c r="M214" s="669"/>
      <c r="N214" s="669"/>
      <c r="O214" s="669"/>
      <c r="P214" s="669"/>
      <c r="Q214" s="669"/>
      <c r="R214" s="669"/>
      <c r="S214" s="669"/>
      <c r="T214" s="669"/>
      <c r="U214" s="669"/>
      <c r="V214" s="669"/>
      <c r="W214" s="669"/>
      <c r="X214" s="669">
        <v>1095</v>
      </c>
      <c r="Y214" s="669"/>
      <c r="Z214" s="669"/>
      <c r="AA214" s="669"/>
      <c r="AB214" s="669"/>
      <c r="AC214" s="669"/>
      <c r="AD214" s="669"/>
      <c r="AE214" s="669"/>
      <c r="AF214" s="669"/>
      <c r="AG214" s="625">
        <f t="shared" si="24"/>
        <v>1095</v>
      </c>
    </row>
    <row r="215" spans="1:33" ht="18" customHeight="1">
      <c r="A215" s="668" t="s">
        <v>87</v>
      </c>
      <c r="B215" s="633" t="s">
        <v>182</v>
      </c>
      <c r="C215" s="667"/>
      <c r="D215" s="647"/>
      <c r="E215" s="667"/>
      <c r="F215" s="667"/>
      <c r="G215" s="667"/>
      <c r="H215" s="667"/>
      <c r="I215" s="667"/>
      <c r="J215" s="667"/>
      <c r="K215" s="667"/>
      <c r="L215" s="667"/>
      <c r="M215" s="667"/>
      <c r="N215" s="667"/>
      <c r="O215" s="667"/>
      <c r="P215" s="667"/>
      <c r="Q215" s="667"/>
      <c r="R215" s="667"/>
      <c r="S215" s="667"/>
      <c r="T215" s="667"/>
      <c r="U215" s="667"/>
      <c r="V215" s="667"/>
      <c r="W215" s="667"/>
      <c r="X215" s="667">
        <v>1533</v>
      </c>
      <c r="Y215" s="667"/>
      <c r="Z215" s="667"/>
      <c r="AA215" s="667"/>
      <c r="AB215" s="667"/>
      <c r="AC215" s="667"/>
      <c r="AD215" s="667"/>
      <c r="AE215" s="667"/>
      <c r="AF215" s="667"/>
      <c r="AG215" s="625">
        <f t="shared" si="24"/>
        <v>1533</v>
      </c>
    </row>
    <row r="216" spans="1:33" ht="18" customHeight="1">
      <c r="A216" s="668" t="s">
        <v>88</v>
      </c>
      <c r="B216" s="633" t="s">
        <v>183</v>
      </c>
      <c r="C216" s="669"/>
      <c r="D216" s="646"/>
      <c r="E216" s="669"/>
      <c r="F216" s="669"/>
      <c r="G216" s="669"/>
      <c r="H216" s="669"/>
      <c r="I216" s="669"/>
      <c r="J216" s="669"/>
      <c r="K216" s="669"/>
      <c r="L216" s="669"/>
      <c r="M216" s="669"/>
      <c r="N216" s="669"/>
      <c r="O216" s="669"/>
      <c r="P216" s="669"/>
      <c r="Q216" s="669"/>
      <c r="R216" s="669"/>
      <c r="S216" s="669"/>
      <c r="T216" s="669"/>
      <c r="U216" s="669"/>
      <c r="V216" s="669"/>
      <c r="W216" s="669"/>
      <c r="X216" s="669">
        <v>876</v>
      </c>
      <c r="Y216" s="669"/>
      <c r="Z216" s="669"/>
      <c r="AA216" s="669"/>
      <c r="AB216" s="669"/>
      <c r="AC216" s="669"/>
      <c r="AD216" s="669"/>
      <c r="AE216" s="669"/>
      <c r="AF216" s="669"/>
      <c r="AG216" s="625">
        <f t="shared" si="24"/>
        <v>876</v>
      </c>
    </row>
    <row r="217" spans="1:33" ht="18" customHeight="1">
      <c r="A217" s="668" t="s">
        <v>89</v>
      </c>
      <c r="B217" s="633" t="s">
        <v>184</v>
      </c>
      <c r="C217" s="667"/>
      <c r="D217" s="647"/>
      <c r="E217" s="667"/>
      <c r="F217" s="667"/>
      <c r="G217" s="667"/>
      <c r="H217" s="667"/>
      <c r="I217" s="667"/>
      <c r="J217" s="667"/>
      <c r="K217" s="667"/>
      <c r="L217" s="667"/>
      <c r="M217" s="667"/>
      <c r="N217" s="667"/>
      <c r="O217" s="667"/>
      <c r="P217" s="667"/>
      <c r="Q217" s="667"/>
      <c r="R217" s="667"/>
      <c r="S217" s="667"/>
      <c r="T217" s="667"/>
      <c r="U217" s="667"/>
      <c r="V217" s="667"/>
      <c r="W217" s="667"/>
      <c r="X217" s="667">
        <v>1314</v>
      </c>
      <c r="Y217" s="667"/>
      <c r="Z217" s="667"/>
      <c r="AA217" s="667"/>
      <c r="AB217" s="667"/>
      <c r="AC217" s="667"/>
      <c r="AD217" s="667"/>
      <c r="AE217" s="667"/>
      <c r="AF217" s="667"/>
      <c r="AG217" s="625">
        <f t="shared" si="24"/>
        <v>1314</v>
      </c>
    </row>
    <row r="218" spans="1:33" ht="18" customHeight="1">
      <c r="A218" s="668" t="s">
        <v>90</v>
      </c>
      <c r="B218" s="633" t="s">
        <v>185</v>
      </c>
      <c r="C218" s="669"/>
      <c r="D218" s="646"/>
      <c r="E218" s="669"/>
      <c r="F218" s="669"/>
      <c r="G218" s="669"/>
      <c r="H218" s="669"/>
      <c r="I218" s="669"/>
      <c r="J218" s="669"/>
      <c r="K218" s="669"/>
      <c r="L218" s="669"/>
      <c r="M218" s="669"/>
      <c r="N218" s="669"/>
      <c r="O218" s="669"/>
      <c r="P218" s="669"/>
      <c r="Q218" s="669"/>
      <c r="R218" s="669"/>
      <c r="S218" s="669"/>
      <c r="T218" s="669"/>
      <c r="U218" s="669"/>
      <c r="V218" s="669"/>
      <c r="W218" s="669"/>
      <c r="X218" s="669">
        <v>438</v>
      </c>
      <c r="Y218" s="669"/>
      <c r="Z218" s="669"/>
      <c r="AA218" s="669"/>
      <c r="AB218" s="669"/>
      <c r="AC218" s="669"/>
      <c r="AD218" s="669"/>
      <c r="AE218" s="669"/>
      <c r="AF218" s="669"/>
      <c r="AG218" s="625">
        <f t="shared" si="24"/>
        <v>438</v>
      </c>
    </row>
    <row r="219" spans="1:33" ht="18" customHeight="1">
      <c r="A219" s="668" t="s">
        <v>91</v>
      </c>
      <c r="B219" s="633" t="s">
        <v>186</v>
      </c>
      <c r="C219" s="667"/>
      <c r="D219" s="647"/>
      <c r="E219" s="667"/>
      <c r="F219" s="667"/>
      <c r="G219" s="667"/>
      <c r="H219" s="667"/>
      <c r="I219" s="667"/>
      <c r="J219" s="667"/>
      <c r="K219" s="667"/>
      <c r="L219" s="667"/>
      <c r="M219" s="667"/>
      <c r="N219" s="667"/>
      <c r="O219" s="667"/>
      <c r="P219" s="667"/>
      <c r="Q219" s="667"/>
      <c r="R219" s="667"/>
      <c r="S219" s="667"/>
      <c r="T219" s="667"/>
      <c r="U219" s="667"/>
      <c r="V219" s="667"/>
      <c r="W219" s="667"/>
      <c r="X219" s="667">
        <v>1314</v>
      </c>
      <c r="Y219" s="667"/>
      <c r="Z219" s="667"/>
      <c r="AA219" s="667"/>
      <c r="AB219" s="667"/>
      <c r="AC219" s="667"/>
      <c r="AD219" s="667"/>
      <c r="AE219" s="667"/>
      <c r="AF219" s="667"/>
      <c r="AG219" s="625">
        <f t="shared" si="24"/>
        <v>1314</v>
      </c>
    </row>
    <row r="220" spans="1:33" ht="18" customHeight="1">
      <c r="A220" s="668" t="s">
        <v>92</v>
      </c>
      <c r="B220" s="633" t="s">
        <v>187</v>
      </c>
      <c r="C220" s="667"/>
      <c r="D220" s="647"/>
      <c r="E220" s="667"/>
      <c r="F220" s="667"/>
      <c r="G220" s="667"/>
      <c r="H220" s="667"/>
      <c r="I220" s="667"/>
      <c r="J220" s="667"/>
      <c r="K220" s="667"/>
      <c r="L220" s="667"/>
      <c r="M220" s="667"/>
      <c r="N220" s="667"/>
      <c r="O220" s="667"/>
      <c r="P220" s="667"/>
      <c r="Q220" s="667"/>
      <c r="R220" s="667"/>
      <c r="S220" s="667"/>
      <c r="T220" s="667"/>
      <c r="U220" s="667"/>
      <c r="V220" s="667"/>
      <c r="W220" s="667"/>
      <c r="X220" s="667">
        <v>219</v>
      </c>
      <c r="Y220" s="667"/>
      <c r="Z220" s="667"/>
      <c r="AA220" s="667"/>
      <c r="AB220" s="667"/>
      <c r="AC220" s="667"/>
      <c r="AD220" s="667"/>
      <c r="AE220" s="667"/>
      <c r="AF220" s="667"/>
      <c r="AG220" s="625">
        <f t="shared" si="24"/>
        <v>219</v>
      </c>
    </row>
    <row r="221" spans="1:33" ht="18" customHeight="1">
      <c r="A221" s="668" t="s">
        <v>93</v>
      </c>
      <c r="B221" s="633" t="s">
        <v>188</v>
      </c>
      <c r="C221" s="669"/>
      <c r="D221" s="646"/>
      <c r="E221" s="669"/>
      <c r="F221" s="669"/>
      <c r="G221" s="669"/>
      <c r="H221" s="669"/>
      <c r="I221" s="669"/>
      <c r="J221" s="669"/>
      <c r="K221" s="669"/>
      <c r="L221" s="669"/>
      <c r="M221" s="669"/>
      <c r="N221" s="669"/>
      <c r="O221" s="669"/>
      <c r="P221" s="669"/>
      <c r="Q221" s="669"/>
      <c r="R221" s="669"/>
      <c r="S221" s="669"/>
      <c r="T221" s="669"/>
      <c r="U221" s="669"/>
      <c r="V221" s="669"/>
      <c r="W221" s="669"/>
      <c r="X221" s="669">
        <v>438</v>
      </c>
      <c r="Y221" s="669"/>
      <c r="Z221" s="669"/>
      <c r="AA221" s="669"/>
      <c r="AB221" s="669"/>
      <c r="AC221" s="669"/>
      <c r="AD221" s="669"/>
      <c r="AE221" s="669"/>
      <c r="AF221" s="669"/>
      <c r="AG221" s="625">
        <f t="shared" si="24"/>
        <v>438</v>
      </c>
    </row>
    <row r="222" spans="1:33" ht="18" customHeight="1">
      <c r="A222" s="668" t="s">
        <v>94</v>
      </c>
      <c r="B222" s="633" t="s">
        <v>189</v>
      </c>
      <c r="C222" s="667"/>
      <c r="D222" s="647"/>
      <c r="E222" s="667"/>
      <c r="F222" s="667"/>
      <c r="G222" s="667"/>
      <c r="H222" s="667"/>
      <c r="I222" s="667"/>
      <c r="J222" s="667"/>
      <c r="K222" s="667"/>
      <c r="L222" s="667"/>
      <c r="M222" s="667"/>
      <c r="N222" s="667"/>
      <c r="O222" s="667"/>
      <c r="P222" s="667"/>
      <c r="Q222" s="667"/>
      <c r="R222" s="667"/>
      <c r="S222" s="667"/>
      <c r="T222" s="667"/>
      <c r="U222" s="667"/>
      <c r="V222" s="667"/>
      <c r="W222" s="667"/>
      <c r="X222" s="667">
        <v>219</v>
      </c>
      <c r="Y222" s="667"/>
      <c r="Z222" s="667"/>
      <c r="AA222" s="667"/>
      <c r="AB222" s="667"/>
      <c r="AC222" s="667"/>
      <c r="AD222" s="667"/>
      <c r="AE222" s="667"/>
      <c r="AF222" s="667"/>
      <c r="AG222" s="625">
        <f t="shared" si="24"/>
        <v>219</v>
      </c>
    </row>
    <row r="223" spans="1:33" ht="18" customHeight="1">
      <c r="A223" s="668" t="s">
        <v>95</v>
      </c>
      <c r="B223" s="633" t="s">
        <v>190</v>
      </c>
      <c r="C223" s="667"/>
      <c r="D223" s="647"/>
      <c r="E223" s="667"/>
      <c r="F223" s="667"/>
      <c r="G223" s="667"/>
      <c r="H223" s="667"/>
      <c r="I223" s="667"/>
      <c r="J223" s="667"/>
      <c r="K223" s="667"/>
      <c r="L223" s="667"/>
      <c r="M223" s="667"/>
      <c r="N223" s="667"/>
      <c r="O223" s="667"/>
      <c r="P223" s="667"/>
      <c r="Q223" s="667"/>
      <c r="R223" s="667"/>
      <c r="S223" s="667"/>
      <c r="T223" s="667"/>
      <c r="U223" s="667"/>
      <c r="V223" s="667"/>
      <c r="W223" s="667"/>
      <c r="X223" s="667">
        <v>1752</v>
      </c>
      <c r="Y223" s="667"/>
      <c r="Z223" s="667"/>
      <c r="AA223" s="667"/>
      <c r="AB223" s="667"/>
      <c r="AC223" s="667"/>
      <c r="AD223" s="667"/>
      <c r="AE223" s="667"/>
      <c r="AF223" s="667"/>
      <c r="AG223" s="625">
        <f t="shared" si="24"/>
        <v>1752</v>
      </c>
    </row>
    <row r="224" spans="1:33" ht="18" customHeight="1">
      <c r="A224" s="668" t="s">
        <v>96</v>
      </c>
      <c r="B224" s="633" t="s">
        <v>191</v>
      </c>
      <c r="C224" s="669"/>
      <c r="D224" s="646"/>
      <c r="E224" s="669"/>
      <c r="F224" s="669"/>
      <c r="G224" s="669"/>
      <c r="H224" s="669"/>
      <c r="I224" s="669"/>
      <c r="J224" s="669"/>
      <c r="K224" s="669"/>
      <c r="L224" s="669"/>
      <c r="M224" s="669"/>
      <c r="N224" s="669"/>
      <c r="O224" s="669"/>
      <c r="P224" s="669"/>
      <c r="Q224" s="669"/>
      <c r="R224" s="669"/>
      <c r="S224" s="669"/>
      <c r="T224" s="669"/>
      <c r="U224" s="669"/>
      <c r="V224" s="669"/>
      <c r="W224" s="669"/>
      <c r="X224" s="669">
        <v>219</v>
      </c>
      <c r="Y224" s="669"/>
      <c r="Z224" s="669"/>
      <c r="AA224" s="669"/>
      <c r="AB224" s="669"/>
      <c r="AC224" s="669"/>
      <c r="AD224" s="669"/>
      <c r="AE224" s="669"/>
      <c r="AF224" s="669"/>
      <c r="AG224" s="625">
        <f t="shared" si="24"/>
        <v>219</v>
      </c>
    </row>
    <row r="225" spans="1:33" ht="18" customHeight="1">
      <c r="A225" s="668" t="s">
        <v>97</v>
      </c>
      <c r="B225" s="633" t="s">
        <v>192</v>
      </c>
      <c r="C225" s="667"/>
      <c r="D225" s="647"/>
      <c r="E225" s="667"/>
      <c r="F225" s="667"/>
      <c r="G225" s="667"/>
      <c r="H225" s="667"/>
      <c r="I225" s="667"/>
      <c r="J225" s="667"/>
      <c r="K225" s="667"/>
      <c r="L225" s="667"/>
      <c r="M225" s="667"/>
      <c r="N225" s="667"/>
      <c r="O225" s="667"/>
      <c r="P225" s="667"/>
      <c r="Q225" s="667"/>
      <c r="R225" s="667"/>
      <c r="S225" s="667"/>
      <c r="T225" s="667"/>
      <c r="U225" s="667"/>
      <c r="V225" s="667"/>
      <c r="W225" s="667"/>
      <c r="X225" s="667">
        <v>219</v>
      </c>
      <c r="Y225" s="667"/>
      <c r="Z225" s="667"/>
      <c r="AA225" s="667"/>
      <c r="AB225" s="667"/>
      <c r="AC225" s="667"/>
      <c r="AD225" s="667"/>
      <c r="AE225" s="667"/>
      <c r="AF225" s="667"/>
      <c r="AG225" s="625">
        <f t="shared" si="24"/>
        <v>219</v>
      </c>
    </row>
    <row r="226" spans="1:33" ht="18" customHeight="1">
      <c r="A226" s="668" t="s">
        <v>98</v>
      </c>
      <c r="B226" s="633" t="s">
        <v>193</v>
      </c>
      <c r="C226" s="667"/>
      <c r="D226" s="647"/>
      <c r="E226" s="667"/>
      <c r="F226" s="667"/>
      <c r="G226" s="667"/>
      <c r="H226" s="667"/>
      <c r="I226" s="667"/>
      <c r="J226" s="667"/>
      <c r="K226" s="667"/>
      <c r="L226" s="667"/>
      <c r="M226" s="667"/>
      <c r="N226" s="667"/>
      <c r="O226" s="667"/>
      <c r="P226" s="667"/>
      <c r="Q226" s="667"/>
      <c r="R226" s="667"/>
      <c r="S226" s="667"/>
      <c r="T226" s="667"/>
      <c r="U226" s="667"/>
      <c r="V226" s="667"/>
      <c r="W226" s="667"/>
      <c r="X226" s="667">
        <v>438</v>
      </c>
      <c r="Y226" s="667"/>
      <c r="Z226" s="667"/>
      <c r="AA226" s="667"/>
      <c r="AB226" s="667"/>
      <c r="AC226" s="667"/>
      <c r="AD226" s="667"/>
      <c r="AE226" s="667"/>
      <c r="AF226" s="667"/>
      <c r="AG226" s="625">
        <f t="shared" si="24"/>
        <v>438</v>
      </c>
    </row>
    <row r="227" spans="1:33" ht="18" customHeight="1">
      <c r="A227" s="668" t="s">
        <v>99</v>
      </c>
      <c r="B227" s="633" t="s">
        <v>143</v>
      </c>
      <c r="C227" s="669"/>
      <c r="D227" s="646"/>
      <c r="E227" s="669"/>
      <c r="F227" s="669"/>
      <c r="G227" s="669"/>
      <c r="H227" s="669"/>
      <c r="I227" s="669"/>
      <c r="J227" s="669"/>
      <c r="K227" s="669"/>
      <c r="L227" s="669"/>
      <c r="M227" s="669"/>
      <c r="N227" s="669"/>
      <c r="O227" s="669"/>
      <c r="P227" s="669"/>
      <c r="Q227" s="669"/>
      <c r="R227" s="669"/>
      <c r="S227" s="669"/>
      <c r="T227" s="669"/>
      <c r="U227" s="669"/>
      <c r="V227" s="669"/>
      <c r="W227" s="669"/>
      <c r="X227" s="669">
        <v>657</v>
      </c>
      <c r="Y227" s="669"/>
      <c r="Z227" s="669"/>
      <c r="AA227" s="669"/>
      <c r="AB227" s="669"/>
      <c r="AC227" s="669"/>
      <c r="AD227" s="669"/>
      <c r="AE227" s="669"/>
      <c r="AF227" s="669"/>
      <c r="AG227" s="625">
        <f t="shared" si="24"/>
        <v>657</v>
      </c>
    </row>
    <row r="228" spans="1:33" ht="18" customHeight="1">
      <c r="A228" s="668" t="s">
        <v>100</v>
      </c>
      <c r="B228" s="633" t="s">
        <v>194</v>
      </c>
      <c r="C228" s="667"/>
      <c r="D228" s="647"/>
      <c r="E228" s="667"/>
      <c r="F228" s="667"/>
      <c r="G228" s="667"/>
      <c r="H228" s="667"/>
      <c r="I228" s="667"/>
      <c r="J228" s="667"/>
      <c r="K228" s="667"/>
      <c r="L228" s="667"/>
      <c r="M228" s="667"/>
      <c r="N228" s="667"/>
      <c r="O228" s="667"/>
      <c r="P228" s="667"/>
      <c r="Q228" s="667"/>
      <c r="R228" s="667"/>
      <c r="S228" s="667"/>
      <c r="T228" s="667"/>
      <c r="U228" s="667"/>
      <c r="V228" s="667"/>
      <c r="W228" s="667"/>
      <c r="X228" s="667">
        <v>1533</v>
      </c>
      <c r="Y228" s="667"/>
      <c r="Z228" s="667"/>
      <c r="AA228" s="667"/>
      <c r="AB228" s="667"/>
      <c r="AC228" s="667"/>
      <c r="AD228" s="667"/>
      <c r="AE228" s="667"/>
      <c r="AF228" s="667"/>
      <c r="AG228" s="625">
        <f t="shared" si="24"/>
        <v>1533</v>
      </c>
    </row>
    <row r="229" spans="1:33" ht="18" customHeight="1">
      <c r="A229" s="668" t="s">
        <v>101</v>
      </c>
      <c r="B229" s="633" t="s">
        <v>195</v>
      </c>
      <c r="C229" s="669"/>
      <c r="D229" s="646"/>
      <c r="E229" s="669"/>
      <c r="F229" s="669"/>
      <c r="G229" s="669"/>
      <c r="H229" s="669"/>
      <c r="I229" s="669"/>
      <c r="J229" s="669"/>
      <c r="K229" s="669"/>
      <c r="L229" s="669"/>
      <c r="M229" s="669"/>
      <c r="N229" s="669"/>
      <c r="O229" s="669"/>
      <c r="P229" s="669"/>
      <c r="Q229" s="669"/>
      <c r="R229" s="669"/>
      <c r="S229" s="669"/>
      <c r="T229" s="669"/>
      <c r="U229" s="669"/>
      <c r="V229" s="669"/>
      <c r="W229" s="669"/>
      <c r="X229" s="669">
        <v>438</v>
      </c>
      <c r="Y229" s="669"/>
      <c r="Z229" s="669"/>
      <c r="AA229" s="669"/>
      <c r="AB229" s="669"/>
      <c r="AC229" s="669"/>
      <c r="AD229" s="669"/>
      <c r="AE229" s="669"/>
      <c r="AF229" s="669"/>
      <c r="AG229" s="625">
        <f t="shared" si="24"/>
        <v>438</v>
      </c>
    </row>
    <row r="230" spans="1:33" ht="18" customHeight="1">
      <c r="A230" s="668" t="s">
        <v>102</v>
      </c>
      <c r="B230" s="633" t="s">
        <v>196</v>
      </c>
      <c r="C230" s="667"/>
      <c r="D230" s="647"/>
      <c r="E230" s="667"/>
      <c r="F230" s="667"/>
      <c r="G230" s="667"/>
      <c r="H230" s="667"/>
      <c r="I230" s="667"/>
      <c r="J230" s="667"/>
      <c r="K230" s="667"/>
      <c r="L230" s="667"/>
      <c r="M230" s="667"/>
      <c r="N230" s="667"/>
      <c r="O230" s="667"/>
      <c r="P230" s="667"/>
      <c r="Q230" s="667"/>
      <c r="R230" s="667"/>
      <c r="S230" s="667"/>
      <c r="T230" s="667"/>
      <c r="U230" s="667"/>
      <c r="V230" s="667"/>
      <c r="W230" s="667"/>
      <c r="X230" s="667">
        <v>438</v>
      </c>
      <c r="Y230" s="667"/>
      <c r="Z230" s="667"/>
      <c r="AA230" s="667"/>
      <c r="AB230" s="667"/>
      <c r="AC230" s="667"/>
      <c r="AD230" s="667"/>
      <c r="AE230" s="667"/>
      <c r="AF230" s="667"/>
      <c r="AG230" s="625">
        <f t="shared" si="24"/>
        <v>438</v>
      </c>
    </row>
    <row r="231" spans="1:33" ht="18" customHeight="1">
      <c r="A231" s="668" t="s">
        <v>103</v>
      </c>
      <c r="B231" s="633" t="s">
        <v>197</v>
      </c>
      <c r="C231" s="669"/>
      <c r="D231" s="646"/>
      <c r="E231" s="669"/>
      <c r="F231" s="669"/>
      <c r="G231" s="669"/>
      <c r="H231" s="669"/>
      <c r="I231" s="669"/>
      <c r="J231" s="669"/>
      <c r="K231" s="669"/>
      <c r="L231" s="669"/>
      <c r="M231" s="669"/>
      <c r="N231" s="669"/>
      <c r="O231" s="669"/>
      <c r="P231" s="669"/>
      <c r="Q231" s="669"/>
      <c r="R231" s="669"/>
      <c r="S231" s="669"/>
      <c r="T231" s="669"/>
      <c r="U231" s="669"/>
      <c r="V231" s="669"/>
      <c r="W231" s="669"/>
      <c r="X231" s="669">
        <v>219</v>
      </c>
      <c r="Y231" s="669"/>
      <c r="Z231" s="669"/>
      <c r="AA231" s="669"/>
      <c r="AB231" s="669"/>
      <c r="AC231" s="669"/>
      <c r="AD231" s="669"/>
      <c r="AE231" s="669"/>
      <c r="AF231" s="669"/>
      <c r="AG231" s="625">
        <f t="shared" si="24"/>
        <v>219</v>
      </c>
    </row>
    <row r="232" spans="1:33" ht="18" customHeight="1">
      <c r="A232" s="668" t="s">
        <v>104</v>
      </c>
      <c r="B232" s="633" t="s">
        <v>198</v>
      </c>
      <c r="C232" s="667"/>
      <c r="D232" s="647"/>
      <c r="E232" s="667"/>
      <c r="F232" s="667"/>
      <c r="G232" s="667"/>
      <c r="H232" s="667"/>
      <c r="I232" s="667"/>
      <c r="J232" s="667"/>
      <c r="K232" s="667"/>
      <c r="L232" s="667"/>
      <c r="M232" s="667"/>
      <c r="N232" s="667"/>
      <c r="O232" s="667"/>
      <c r="P232" s="667"/>
      <c r="Q232" s="667"/>
      <c r="R232" s="667"/>
      <c r="S232" s="667"/>
      <c r="T232" s="667"/>
      <c r="U232" s="667"/>
      <c r="V232" s="667"/>
      <c r="W232" s="667"/>
      <c r="X232" s="667">
        <v>219</v>
      </c>
      <c r="Y232" s="667"/>
      <c r="Z232" s="667"/>
      <c r="AA232" s="667"/>
      <c r="AB232" s="667"/>
      <c r="AC232" s="667"/>
      <c r="AD232" s="667"/>
      <c r="AE232" s="667"/>
      <c r="AF232" s="667"/>
      <c r="AG232" s="625">
        <f t="shared" si="24"/>
        <v>219</v>
      </c>
    </row>
    <row r="233" ht="12.75">
      <c r="AG233" s="387"/>
    </row>
    <row r="234" ht="12.75">
      <c r="AG234" s="387"/>
    </row>
    <row r="235" ht="12.75">
      <c r="AG235" s="387"/>
    </row>
    <row r="236" ht="12.75">
      <c r="AG236" s="387"/>
    </row>
    <row r="237" ht="12.75">
      <c r="AG237" s="387"/>
    </row>
    <row r="238" ht="12.75">
      <c r="AG238" s="387"/>
    </row>
    <row r="239" ht="12.75">
      <c r="AG239" s="387"/>
    </row>
    <row r="240" ht="12.75">
      <c r="AG240" s="387"/>
    </row>
    <row r="241" ht="12.75">
      <c r="AG241" s="387"/>
    </row>
    <row r="242" ht="12.75">
      <c r="AG242" s="387"/>
    </row>
    <row r="243" ht="12.75">
      <c r="AG243" s="387"/>
    </row>
    <row r="244" ht="12.75">
      <c r="AG244" s="387"/>
    </row>
    <row r="245" ht="12.75">
      <c r="AG245" s="387"/>
    </row>
    <row r="246" ht="12.75">
      <c r="AG246" s="387"/>
    </row>
    <row r="247" ht="12.75">
      <c r="AG247" s="387"/>
    </row>
    <row r="248" ht="12.75">
      <c r="AG248" s="387"/>
    </row>
    <row r="249" ht="12.75">
      <c r="AG249" s="387"/>
    </row>
    <row r="250" ht="12.75">
      <c r="AG250" s="387"/>
    </row>
    <row r="251" ht="12.75">
      <c r="AG251" s="387"/>
    </row>
    <row r="252" ht="12.75">
      <c r="AG252" s="387"/>
    </row>
    <row r="253" ht="12.75">
      <c r="AG253" s="387"/>
    </row>
    <row r="254" ht="12.75">
      <c r="AG254" s="387"/>
    </row>
    <row r="255" ht="12.75">
      <c r="AG255" s="387"/>
    </row>
    <row r="256" ht="12.75">
      <c r="AG256" s="387"/>
    </row>
    <row r="257" ht="12.75">
      <c r="AG257" s="387"/>
    </row>
    <row r="258" ht="12.75">
      <c r="AG258" s="387"/>
    </row>
    <row r="259" ht="12.75">
      <c r="AG259" s="387"/>
    </row>
    <row r="260" ht="12.75">
      <c r="AG260" s="387"/>
    </row>
    <row r="261" ht="12.75">
      <c r="AG261" s="387"/>
    </row>
    <row r="262" ht="12.75">
      <c r="AG262" s="387"/>
    </row>
    <row r="263" ht="12.75">
      <c r="AG263" s="387"/>
    </row>
    <row r="264" ht="12.75">
      <c r="AG264" s="387"/>
    </row>
    <row r="265" ht="12.75">
      <c r="AG265" s="387"/>
    </row>
    <row r="266" ht="12.75">
      <c r="AG266" s="387"/>
    </row>
    <row r="267" ht="12.75">
      <c r="AG267" s="387"/>
    </row>
    <row r="268" ht="12.75">
      <c r="AG268" s="387"/>
    </row>
    <row r="269" ht="12.75">
      <c r="AG269" s="387"/>
    </row>
    <row r="270" ht="12.75">
      <c r="AG270" s="387"/>
    </row>
    <row r="271" ht="12.75">
      <c r="AG271" s="387"/>
    </row>
    <row r="272" ht="12.75">
      <c r="AG272" s="387"/>
    </row>
    <row r="273" ht="12.75">
      <c r="AG273" s="387"/>
    </row>
    <row r="274" ht="12.75">
      <c r="AG274" s="387"/>
    </row>
    <row r="275" ht="12.75">
      <c r="AG275" s="387"/>
    </row>
    <row r="276" ht="12.75">
      <c r="AG276" s="387"/>
    </row>
    <row r="277" ht="12.75">
      <c r="AG277" s="387"/>
    </row>
    <row r="278" ht="12.75">
      <c r="AG278" s="387"/>
    </row>
    <row r="279" ht="12.75">
      <c r="AG279" s="387"/>
    </row>
    <row r="280" ht="12.75">
      <c r="AG280" s="387"/>
    </row>
    <row r="281" ht="12.75">
      <c r="AG281" s="387"/>
    </row>
    <row r="282" ht="12.75">
      <c r="AG282" s="387"/>
    </row>
    <row r="283" ht="12.75">
      <c r="AG283" s="387"/>
    </row>
    <row r="284" ht="12.75">
      <c r="AG284" s="387"/>
    </row>
    <row r="285" ht="12.75">
      <c r="AG285" s="387"/>
    </row>
    <row r="286" ht="12.75">
      <c r="AG286" s="387"/>
    </row>
    <row r="287" ht="12.75">
      <c r="AG287" s="387"/>
    </row>
    <row r="288" ht="12.75">
      <c r="AG288" s="387"/>
    </row>
    <row r="289" ht="12.75">
      <c r="AG289" s="387"/>
    </row>
    <row r="290" ht="12.75">
      <c r="AG290" s="387"/>
    </row>
    <row r="291" ht="12.75">
      <c r="AG291" s="387"/>
    </row>
    <row r="292" ht="12.75">
      <c r="AG292" s="387"/>
    </row>
    <row r="293" ht="12.75">
      <c r="AG293" s="387"/>
    </row>
    <row r="294" ht="12.75">
      <c r="AG294" s="387"/>
    </row>
    <row r="295" ht="12.75">
      <c r="AG295" s="387"/>
    </row>
    <row r="296" ht="12.75">
      <c r="AG296" s="387"/>
    </row>
    <row r="297" ht="12.75">
      <c r="AG297" s="387"/>
    </row>
    <row r="298" ht="12.75">
      <c r="AG298" s="387"/>
    </row>
    <row r="299" ht="12.75">
      <c r="AG299" s="387"/>
    </row>
    <row r="300" ht="12.75">
      <c r="AG300" s="387"/>
    </row>
    <row r="301" ht="12.75">
      <c r="AG301" s="387"/>
    </row>
    <row r="302" ht="12.75">
      <c r="AG302" s="387"/>
    </row>
    <row r="303" ht="12.75">
      <c r="AG303" s="387"/>
    </row>
    <row r="304" ht="12.75">
      <c r="AG304" s="387"/>
    </row>
    <row r="305" ht="12.75">
      <c r="AG305" s="387"/>
    </row>
    <row r="306" ht="12.75">
      <c r="AG306" s="387"/>
    </row>
    <row r="307" ht="12.75">
      <c r="AG307" s="387"/>
    </row>
    <row r="308" ht="12.75">
      <c r="AG308" s="387"/>
    </row>
    <row r="309" ht="12.75">
      <c r="AG309" s="387"/>
    </row>
    <row r="310" ht="12.75">
      <c r="AG310" s="387"/>
    </row>
    <row r="311" ht="12.75">
      <c r="AG311" s="387"/>
    </row>
    <row r="312" ht="12.75">
      <c r="AG312" s="387"/>
    </row>
    <row r="313" ht="12.75">
      <c r="AG313" s="387"/>
    </row>
    <row r="314" ht="12.75">
      <c r="AG314" s="387"/>
    </row>
    <row r="315" ht="12.75">
      <c r="AG315" s="387"/>
    </row>
    <row r="316" ht="12.75">
      <c r="AG316" s="387"/>
    </row>
    <row r="317" ht="12.75">
      <c r="AG317" s="387"/>
    </row>
    <row r="318" ht="12.75">
      <c r="AG318" s="387"/>
    </row>
    <row r="319" ht="12.75">
      <c r="AG319" s="387"/>
    </row>
    <row r="320" ht="12.75">
      <c r="AG320" s="387"/>
    </row>
    <row r="321" ht="12.75">
      <c r="AG321" s="387"/>
    </row>
    <row r="322" ht="12.75">
      <c r="AG322" s="387"/>
    </row>
    <row r="323" ht="12.75">
      <c r="AG323" s="387"/>
    </row>
    <row r="324" ht="12.75">
      <c r="AG324" s="387"/>
    </row>
    <row r="325" ht="12.75">
      <c r="AG325" s="387"/>
    </row>
    <row r="326" ht="12.75">
      <c r="AG326" s="387"/>
    </row>
    <row r="327" ht="12.75">
      <c r="AG327" s="387"/>
    </row>
    <row r="328" ht="12.75">
      <c r="AG328" s="387"/>
    </row>
    <row r="329" ht="12.75">
      <c r="AG329" s="387"/>
    </row>
    <row r="330" ht="12.75">
      <c r="AG330" s="387"/>
    </row>
    <row r="331" ht="12.75">
      <c r="AG331" s="387"/>
    </row>
    <row r="332" ht="12.75">
      <c r="AG332" s="387"/>
    </row>
    <row r="333" ht="12.75">
      <c r="AG333" s="387"/>
    </row>
    <row r="334" ht="12.75">
      <c r="AG334" s="387"/>
    </row>
  </sheetData>
  <printOptions/>
  <pageMargins left="0.3937007874015748" right="0.3937007874015748" top="0.984251968503937" bottom="0.984251968503937" header="0.5118110236220472" footer="0.5118110236220472"/>
  <pageSetup firstPageNumber="40" useFirstPageNumber="1" horizontalDpi="300" verticalDpi="300" orientation="landscape" paperSize="9" scale="80" r:id="rId2"/>
  <headerFooter alignWithMargins="0">
    <oddFooter>&amp;C&amp;P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1"/>
  <sheetViews>
    <sheetView zoomScale="75" zoomScaleNormal="75" workbookViewId="0" topLeftCell="E5">
      <selection activeCell="J18" sqref="J18"/>
    </sheetView>
  </sheetViews>
  <sheetFormatPr defaultColWidth="9.125" defaultRowHeight="12.75"/>
  <cols>
    <col min="1" max="1" width="6.125" style="27" customWidth="1"/>
    <col min="2" max="2" width="8.125" style="27" customWidth="1"/>
    <col min="3" max="3" width="6.75390625" style="27" customWidth="1"/>
    <col min="4" max="4" width="57.125" style="27" customWidth="1"/>
    <col min="5" max="5" width="20.00390625" style="27" customWidth="1"/>
    <col min="6" max="6" width="14.25390625" style="27" hidden="1" customWidth="1"/>
    <col min="7" max="7" width="12.75390625" style="27" customWidth="1"/>
    <col min="8" max="8" width="13.75390625" style="27" customWidth="1"/>
    <col min="9" max="9" width="20.25390625" style="27" customWidth="1"/>
    <col min="10" max="10" width="12.75390625" style="27" customWidth="1"/>
    <col min="11" max="11" width="13.75390625" style="27" customWidth="1"/>
  </cols>
  <sheetData>
    <row r="1" spans="2:10" ht="15" customHeight="1">
      <c r="B1" s="250"/>
      <c r="D1" s="79"/>
      <c r="J1" s="153" t="s">
        <v>285</v>
      </c>
    </row>
    <row r="2" spans="1:10" ht="15" customHeight="1">
      <c r="A2" s="251" t="s">
        <v>309</v>
      </c>
      <c r="B2" s="251"/>
      <c r="C2" s="251"/>
      <c r="D2" s="251"/>
      <c r="J2" s="27" t="s">
        <v>365</v>
      </c>
    </row>
    <row r="3" spans="1:10" ht="15" customHeight="1">
      <c r="A3" s="751" t="s">
        <v>310</v>
      </c>
      <c r="B3" s="751"/>
      <c r="C3" s="751"/>
      <c r="D3" s="751"/>
      <c r="J3" s="27" t="s">
        <v>246</v>
      </c>
    </row>
    <row r="4" spans="1:10" ht="15" customHeight="1">
      <c r="A4" s="751" t="s">
        <v>311</v>
      </c>
      <c r="B4" s="751"/>
      <c r="C4" s="751"/>
      <c r="D4" s="751"/>
      <c r="G4" s="3"/>
      <c r="J4" s="27" t="s">
        <v>366</v>
      </c>
    </row>
    <row r="5" spans="1:11" ht="9.75" customHeight="1">
      <c r="A5" s="252"/>
      <c r="B5" s="252"/>
      <c r="C5" s="252"/>
      <c r="D5" s="252"/>
      <c r="E5" s="253"/>
      <c r="F5" s="253"/>
      <c r="G5" s="253"/>
      <c r="H5" s="253"/>
      <c r="I5" s="253"/>
      <c r="J5" s="253"/>
      <c r="K5" s="253"/>
    </row>
    <row r="6" spans="5:11" ht="12" customHeight="1" thickBot="1">
      <c r="E6" s="32"/>
      <c r="F6" s="32"/>
      <c r="G6" s="32"/>
      <c r="H6" s="32"/>
      <c r="I6" s="32"/>
      <c r="J6" s="32"/>
      <c r="K6" s="93" t="s">
        <v>332</v>
      </c>
    </row>
    <row r="7" spans="1:11" ht="20.25" customHeight="1" thickTop="1">
      <c r="A7" s="80"/>
      <c r="B7" s="80"/>
      <c r="C7" s="80"/>
      <c r="D7" s="254" t="s">
        <v>295</v>
      </c>
      <c r="E7" s="748" t="s">
        <v>318</v>
      </c>
      <c r="G7" s="255"/>
      <c r="H7" s="748" t="s">
        <v>312</v>
      </c>
      <c r="I7" s="748" t="s">
        <v>319</v>
      </c>
      <c r="J7" s="255"/>
      <c r="K7" s="748" t="s">
        <v>313</v>
      </c>
    </row>
    <row r="8" spans="1:11" ht="63.75" customHeight="1" thickBot="1">
      <c r="A8" s="81" t="s">
        <v>218</v>
      </c>
      <c r="B8" s="17" t="s">
        <v>243</v>
      </c>
      <c r="C8" s="17" t="s">
        <v>330</v>
      </c>
      <c r="D8" s="17" t="s">
        <v>346</v>
      </c>
      <c r="E8" s="749"/>
      <c r="F8" s="17" t="s">
        <v>314</v>
      </c>
      <c r="G8" s="17" t="s">
        <v>271</v>
      </c>
      <c r="H8" s="750"/>
      <c r="I8" s="749"/>
      <c r="J8" s="17" t="s">
        <v>271</v>
      </c>
      <c r="K8" s="750"/>
    </row>
    <row r="9" spans="1:11" ht="15.75" customHeight="1" thickBot="1" thickTop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6</v>
      </c>
      <c r="H9" s="25">
        <v>7</v>
      </c>
      <c r="I9" s="256">
        <v>8</v>
      </c>
      <c r="J9" s="25">
        <v>9</v>
      </c>
      <c r="K9" s="25">
        <v>10</v>
      </c>
    </row>
    <row r="10" spans="1:11" ht="23.25" customHeight="1" thickBot="1" thickTop="1">
      <c r="A10" s="65"/>
      <c r="B10" s="65"/>
      <c r="C10" s="257"/>
      <c r="D10" s="258" t="s">
        <v>315</v>
      </c>
      <c r="E10" s="259">
        <v>62983519</v>
      </c>
      <c r="F10" s="259"/>
      <c r="G10" s="259">
        <f>G12+G43</f>
        <v>-168010</v>
      </c>
      <c r="H10" s="259">
        <f>E10+G10</f>
        <v>62815509</v>
      </c>
      <c r="I10" s="260">
        <v>54512519</v>
      </c>
      <c r="J10" s="259">
        <f>J12+J43</f>
        <v>-168010</v>
      </c>
      <c r="K10" s="259">
        <f>I10+J10</f>
        <v>54344509</v>
      </c>
    </row>
    <row r="11" spans="1:11" ht="18" customHeight="1">
      <c r="A11" s="34"/>
      <c r="B11" s="34"/>
      <c r="C11" s="288"/>
      <c r="D11" s="289" t="s">
        <v>224</v>
      </c>
      <c r="E11" s="290"/>
      <c r="F11" s="290"/>
      <c r="G11" s="290"/>
      <c r="H11" s="290"/>
      <c r="I11" s="291"/>
      <c r="J11" s="290"/>
      <c r="K11" s="290"/>
    </row>
    <row r="12" spans="1:11" ht="19.5" customHeight="1" thickBot="1">
      <c r="A12" s="261"/>
      <c r="B12" s="262"/>
      <c r="C12" s="262"/>
      <c r="D12" s="287" t="s">
        <v>327</v>
      </c>
      <c r="E12" s="264">
        <v>34883495</v>
      </c>
      <c r="F12" s="264"/>
      <c r="G12" s="264">
        <f>G13+G21+G38</f>
        <v>-180010</v>
      </c>
      <c r="H12" s="264">
        <f>E12+G12</f>
        <v>34703485</v>
      </c>
      <c r="I12" s="265">
        <v>34221495</v>
      </c>
      <c r="J12" s="264">
        <f>J13+J21+J38</f>
        <v>-180010</v>
      </c>
      <c r="K12" s="264">
        <f aca="true" t="shared" si="0" ref="K12:K22">I12+J12</f>
        <v>34041485</v>
      </c>
    </row>
    <row r="13" spans="1:11" ht="28.5" customHeight="1" thickTop="1">
      <c r="A13" s="55">
        <v>751</v>
      </c>
      <c r="B13" s="8"/>
      <c r="C13" s="8"/>
      <c r="D13" s="56" t="s">
        <v>259</v>
      </c>
      <c r="E13" s="57">
        <v>662980</v>
      </c>
      <c r="F13" s="531"/>
      <c r="G13" s="57"/>
      <c r="H13" s="57">
        <f>E13+G13</f>
        <v>662980</v>
      </c>
      <c r="I13" s="57">
        <v>662980</v>
      </c>
      <c r="J13" s="57">
        <f>J14</f>
        <v>0</v>
      </c>
      <c r="K13" s="57">
        <f t="shared" si="0"/>
        <v>662980</v>
      </c>
    </row>
    <row r="14" spans="1:11" ht="19.5" customHeight="1">
      <c r="A14" s="85"/>
      <c r="B14" s="35">
        <v>75110</v>
      </c>
      <c r="C14" s="175"/>
      <c r="D14" s="217" t="s">
        <v>253</v>
      </c>
      <c r="E14" s="527">
        <v>635150</v>
      </c>
      <c r="F14" s="531"/>
      <c r="G14" s="527"/>
      <c r="H14" s="62">
        <f>E14+G14</f>
        <v>635150</v>
      </c>
      <c r="I14" s="527">
        <v>635150</v>
      </c>
      <c r="J14" s="527">
        <f>J15</f>
        <v>0</v>
      </c>
      <c r="K14" s="62">
        <f t="shared" si="0"/>
        <v>635150</v>
      </c>
    </row>
    <row r="15" spans="1:11" ht="19.5" customHeight="1">
      <c r="A15" s="13"/>
      <c r="B15" s="85"/>
      <c r="C15" s="85"/>
      <c r="D15" s="38" t="s">
        <v>342</v>
      </c>
      <c r="E15" s="277"/>
      <c r="F15" s="531"/>
      <c r="G15" s="277"/>
      <c r="H15" s="277"/>
      <c r="I15" s="277">
        <v>635150</v>
      </c>
      <c r="J15" s="277">
        <f>SUM(J16:J20)</f>
        <v>0</v>
      </c>
      <c r="K15" s="526">
        <f t="shared" si="0"/>
        <v>635150</v>
      </c>
    </row>
    <row r="16" spans="1:11" ht="19.5" customHeight="1">
      <c r="A16" s="13"/>
      <c r="B16" s="13"/>
      <c r="C16" s="23">
        <v>4110</v>
      </c>
      <c r="D16" s="102" t="s">
        <v>338</v>
      </c>
      <c r="E16" s="528"/>
      <c r="F16" s="531"/>
      <c r="G16" s="528"/>
      <c r="H16" s="528"/>
      <c r="I16" s="528">
        <v>14000</v>
      </c>
      <c r="J16" s="528">
        <v>2188</v>
      </c>
      <c r="K16" s="464">
        <f t="shared" si="0"/>
        <v>16188</v>
      </c>
    </row>
    <row r="17" spans="1:11" ht="19.5" customHeight="1">
      <c r="A17" s="13"/>
      <c r="B17" s="13"/>
      <c r="C17" s="23">
        <v>4120</v>
      </c>
      <c r="D17" s="102" t="s">
        <v>339</v>
      </c>
      <c r="E17" s="529"/>
      <c r="F17" s="531"/>
      <c r="G17" s="529"/>
      <c r="H17" s="529"/>
      <c r="I17" s="292">
        <v>2000</v>
      </c>
      <c r="J17" s="292">
        <v>302</v>
      </c>
      <c r="K17" s="464">
        <f t="shared" si="0"/>
        <v>2302</v>
      </c>
    </row>
    <row r="18" spans="1:11" ht="19.5" customHeight="1">
      <c r="A18" s="13"/>
      <c r="B18" s="13"/>
      <c r="C18" s="23">
        <v>4210</v>
      </c>
      <c r="D18" s="12" t="s">
        <v>302</v>
      </c>
      <c r="E18" s="529"/>
      <c r="F18" s="531"/>
      <c r="G18" s="529"/>
      <c r="H18" s="529"/>
      <c r="I18" s="292">
        <v>25000</v>
      </c>
      <c r="J18" s="292">
        <v>2423</v>
      </c>
      <c r="K18" s="464">
        <f t="shared" si="0"/>
        <v>27423</v>
      </c>
    </row>
    <row r="19" spans="1:11" ht="19.5" customHeight="1">
      <c r="A19" s="13"/>
      <c r="B19" s="13"/>
      <c r="C19" s="23">
        <v>4300</v>
      </c>
      <c r="D19" s="102" t="s">
        <v>336</v>
      </c>
      <c r="E19" s="529"/>
      <c r="F19" s="531"/>
      <c r="G19" s="529"/>
      <c r="H19" s="529"/>
      <c r="I19" s="292">
        <v>169415</v>
      </c>
      <c r="J19" s="292">
        <v>-4884</v>
      </c>
      <c r="K19" s="464">
        <f t="shared" si="0"/>
        <v>164531</v>
      </c>
    </row>
    <row r="20" spans="1:11" ht="19.5" customHeight="1">
      <c r="A20" s="29"/>
      <c r="B20" s="29"/>
      <c r="C20" s="23">
        <v>4410</v>
      </c>
      <c r="D20" s="102" t="s">
        <v>380</v>
      </c>
      <c r="E20" s="529"/>
      <c r="F20" s="531"/>
      <c r="G20" s="529"/>
      <c r="H20" s="529"/>
      <c r="I20" s="292">
        <v>1550</v>
      </c>
      <c r="J20" s="292">
        <v>-29</v>
      </c>
      <c r="K20" s="464">
        <f t="shared" si="0"/>
        <v>1521</v>
      </c>
    </row>
    <row r="21" spans="1:11" ht="19.5" customHeight="1">
      <c r="A21" s="54">
        <v>853</v>
      </c>
      <c r="B21" s="55"/>
      <c r="C21" s="55"/>
      <c r="D21" s="56" t="s">
        <v>216</v>
      </c>
      <c r="E21" s="57">
        <v>29024880</v>
      </c>
      <c r="F21" s="57"/>
      <c r="G21" s="57">
        <f>G22+G28+G33</f>
        <v>-180010</v>
      </c>
      <c r="H21" s="57">
        <f>E21+G21</f>
        <v>28844870</v>
      </c>
      <c r="I21" s="57">
        <v>28948880</v>
      </c>
      <c r="J21" s="57">
        <f>J22+J28+J33</f>
        <v>-180010</v>
      </c>
      <c r="K21" s="57">
        <f t="shared" si="0"/>
        <v>28768870</v>
      </c>
    </row>
    <row r="22" spans="1:11" ht="24.75" customHeight="1">
      <c r="A22" s="90"/>
      <c r="B22" s="70">
        <v>85313</v>
      </c>
      <c r="C22" s="279"/>
      <c r="D22" s="520" t="s">
        <v>408</v>
      </c>
      <c r="E22" s="62">
        <v>1473000</v>
      </c>
      <c r="F22" s="267"/>
      <c r="G22" s="62">
        <f>G23</f>
        <v>-473000</v>
      </c>
      <c r="H22" s="62">
        <f>E22+G22</f>
        <v>1000000</v>
      </c>
      <c r="I22" s="62">
        <v>1473000</v>
      </c>
      <c r="J22" s="62">
        <f>J25</f>
        <v>-473000</v>
      </c>
      <c r="K22" s="62">
        <f t="shared" si="0"/>
        <v>1000000</v>
      </c>
    </row>
    <row r="23" spans="1:11" ht="39.75" customHeight="1">
      <c r="A23" s="13"/>
      <c r="B23" s="85"/>
      <c r="C23" s="85"/>
      <c r="D23" s="521" t="s">
        <v>409</v>
      </c>
      <c r="E23" s="39">
        <v>1473000</v>
      </c>
      <c r="F23" s="277"/>
      <c r="G23" s="39">
        <f>G24</f>
        <v>-473000</v>
      </c>
      <c r="H23" s="39">
        <f>E23+G23</f>
        <v>1000000</v>
      </c>
      <c r="I23" s="39"/>
      <c r="J23" s="39"/>
      <c r="K23" s="39"/>
    </row>
    <row r="24" spans="1:11" ht="40.5" customHeight="1">
      <c r="A24" s="16"/>
      <c r="B24" s="16"/>
      <c r="C24" s="23">
        <v>201</v>
      </c>
      <c r="D24" s="280" t="s">
        <v>410</v>
      </c>
      <c r="E24" s="19">
        <v>1473000</v>
      </c>
      <c r="F24" s="278"/>
      <c r="G24" s="19">
        <v>-473000</v>
      </c>
      <c r="H24" s="19">
        <f>E24+G24</f>
        <v>1000000</v>
      </c>
      <c r="I24" s="19"/>
      <c r="J24" s="19"/>
      <c r="K24" s="19"/>
    </row>
    <row r="25" spans="1:11" ht="25.5" customHeight="1">
      <c r="A25" s="13"/>
      <c r="B25" s="13"/>
      <c r="C25" s="13"/>
      <c r="D25" s="336" t="s">
        <v>413</v>
      </c>
      <c r="E25" s="525"/>
      <c r="F25" s="525"/>
      <c r="G25" s="525"/>
      <c r="H25" s="525"/>
      <c r="I25" s="526">
        <v>1473000</v>
      </c>
      <c r="J25" s="526">
        <f>J26</f>
        <v>-473000</v>
      </c>
      <c r="K25" s="526">
        <f>I25+J25</f>
        <v>1000000</v>
      </c>
    </row>
    <row r="26" spans="1:11" ht="19.5" customHeight="1">
      <c r="A26" s="234"/>
      <c r="B26" s="89"/>
      <c r="C26" s="16">
        <v>4130</v>
      </c>
      <c r="D26" s="548" t="s">
        <v>414</v>
      </c>
      <c r="E26" s="549"/>
      <c r="F26" s="549"/>
      <c r="G26" s="549"/>
      <c r="H26" s="549"/>
      <c r="I26" s="549">
        <v>1473000</v>
      </c>
      <c r="J26" s="549">
        <v>-473000</v>
      </c>
      <c r="K26" s="549">
        <f>I26+J26</f>
        <v>1000000</v>
      </c>
    </row>
    <row r="27" spans="1:11" ht="19.5" customHeight="1">
      <c r="A27" s="551"/>
      <c r="B27" s="552"/>
      <c r="C27" s="553"/>
      <c r="D27" s="554"/>
      <c r="E27" s="555"/>
      <c r="F27" s="555"/>
      <c r="G27" s="555"/>
      <c r="H27" s="555"/>
      <c r="I27" s="555"/>
      <c r="J27" s="555"/>
      <c r="K27" s="555"/>
    </row>
    <row r="28" spans="1:11" ht="26.25" customHeight="1">
      <c r="A28" s="13"/>
      <c r="B28" s="60">
        <v>85314</v>
      </c>
      <c r="C28" s="60"/>
      <c r="D28" s="61" t="s">
        <v>411</v>
      </c>
      <c r="E28" s="385">
        <v>20316000</v>
      </c>
      <c r="F28" s="388"/>
      <c r="G28" s="385">
        <f>G29</f>
        <v>292000</v>
      </c>
      <c r="H28" s="550">
        <f>E28+G28</f>
        <v>20608000</v>
      </c>
      <c r="I28" s="385">
        <v>20316000</v>
      </c>
      <c r="J28" s="385">
        <f>J31</f>
        <v>292000</v>
      </c>
      <c r="K28" s="244">
        <f>I28+J28</f>
        <v>20608000</v>
      </c>
    </row>
    <row r="29" spans="1:11" ht="24.75" customHeight="1">
      <c r="A29" s="13"/>
      <c r="B29" s="13"/>
      <c r="C29" s="85"/>
      <c r="D29" s="38" t="s">
        <v>412</v>
      </c>
      <c r="E29" s="39">
        <v>20316000</v>
      </c>
      <c r="F29" s="388"/>
      <c r="G29" s="39">
        <f>G30</f>
        <v>292000</v>
      </c>
      <c r="H29" s="242">
        <f>E29+G29</f>
        <v>20608000</v>
      </c>
      <c r="I29" s="39"/>
      <c r="J29" s="39"/>
      <c r="K29" s="39"/>
    </row>
    <row r="30" spans="1:11" ht="36.75" customHeight="1">
      <c r="A30" s="13"/>
      <c r="B30" s="16"/>
      <c r="C30" s="23">
        <v>201</v>
      </c>
      <c r="D30" s="280" t="s">
        <v>410</v>
      </c>
      <c r="E30" s="19">
        <v>20316000</v>
      </c>
      <c r="F30" s="388"/>
      <c r="G30" s="19">
        <f>69000+223000</f>
        <v>292000</v>
      </c>
      <c r="H30" s="243">
        <f>E30+G30</f>
        <v>20608000</v>
      </c>
      <c r="I30" s="19"/>
      <c r="J30" s="19"/>
      <c r="K30" s="19"/>
    </row>
    <row r="31" spans="1:11" ht="19.5" customHeight="1">
      <c r="A31" s="13"/>
      <c r="B31" s="13"/>
      <c r="C31" s="13"/>
      <c r="D31" s="336" t="s">
        <v>403</v>
      </c>
      <c r="E31" s="525"/>
      <c r="F31" s="525"/>
      <c r="G31" s="525"/>
      <c r="H31" s="525"/>
      <c r="I31" s="525">
        <v>20316000</v>
      </c>
      <c r="J31" s="526">
        <f>J32</f>
        <v>292000</v>
      </c>
      <c r="K31" s="526">
        <f>I31+J31</f>
        <v>20608000</v>
      </c>
    </row>
    <row r="32" spans="1:11" ht="19.5" customHeight="1">
      <c r="A32" s="234"/>
      <c r="B32" s="89"/>
      <c r="C32" s="23">
        <v>3110</v>
      </c>
      <c r="D32" s="12" t="s">
        <v>239</v>
      </c>
      <c r="E32" s="464"/>
      <c r="F32" s="464"/>
      <c r="G32" s="464"/>
      <c r="H32" s="464"/>
      <c r="I32" s="464">
        <v>19216000</v>
      </c>
      <c r="J32" s="464">
        <v>292000</v>
      </c>
      <c r="K32" s="464">
        <f>I32+J32</f>
        <v>19508000</v>
      </c>
    </row>
    <row r="33" spans="1:11" ht="19.5" customHeight="1">
      <c r="A33" s="90"/>
      <c r="B33" s="91">
        <v>85395</v>
      </c>
      <c r="C33" s="91"/>
      <c r="D33" s="92" t="s">
        <v>235</v>
      </c>
      <c r="E33" s="238">
        <v>29880</v>
      </c>
      <c r="F33" s="388"/>
      <c r="G33" s="238">
        <f>G34</f>
        <v>990</v>
      </c>
      <c r="H33" s="238">
        <f>E33+G33</f>
        <v>30870</v>
      </c>
      <c r="I33" s="238">
        <v>29880</v>
      </c>
      <c r="J33" s="238">
        <f>J36</f>
        <v>990</v>
      </c>
      <c r="K33" s="244">
        <f>I33+J33</f>
        <v>30870</v>
      </c>
    </row>
    <row r="34" spans="1:11" ht="24.75" customHeight="1">
      <c r="A34" s="13"/>
      <c r="B34" s="13"/>
      <c r="C34" s="13"/>
      <c r="D34" s="38" t="s">
        <v>325</v>
      </c>
      <c r="E34" s="242">
        <v>29880</v>
      </c>
      <c r="F34" s="388"/>
      <c r="G34" s="242">
        <f>G35</f>
        <v>990</v>
      </c>
      <c r="H34" s="242">
        <f>E34+G34</f>
        <v>30870</v>
      </c>
      <c r="I34" s="242"/>
      <c r="J34" s="242"/>
      <c r="K34" s="242"/>
    </row>
    <row r="35" spans="1:11" ht="37.5" customHeight="1">
      <c r="A35" s="16"/>
      <c r="B35" s="16"/>
      <c r="C35" s="58">
        <v>201</v>
      </c>
      <c r="D35" s="241" t="s">
        <v>326</v>
      </c>
      <c r="E35" s="243">
        <v>29880</v>
      </c>
      <c r="F35" s="388"/>
      <c r="G35" s="243">
        <v>990</v>
      </c>
      <c r="H35" s="243">
        <f>E35+G35</f>
        <v>30870</v>
      </c>
      <c r="I35" s="243"/>
      <c r="J35" s="243"/>
      <c r="K35" s="243"/>
    </row>
    <row r="36" spans="1:11" ht="19.5" customHeight="1">
      <c r="A36" s="13"/>
      <c r="B36" s="13"/>
      <c r="C36" s="13"/>
      <c r="D36" s="336" t="s">
        <v>323</v>
      </c>
      <c r="E36" s="525"/>
      <c r="F36" s="525"/>
      <c r="G36" s="525"/>
      <c r="H36" s="525"/>
      <c r="I36" s="526">
        <v>29880</v>
      </c>
      <c r="J36" s="526">
        <f>J37</f>
        <v>990</v>
      </c>
      <c r="K36" s="526">
        <f>I36+J36</f>
        <v>30870</v>
      </c>
    </row>
    <row r="37" spans="1:11" ht="19.5" customHeight="1">
      <c r="A37" s="234"/>
      <c r="B37" s="89"/>
      <c r="C37" s="23">
        <v>3110</v>
      </c>
      <c r="D37" s="12" t="s">
        <v>239</v>
      </c>
      <c r="E37" s="464"/>
      <c r="F37" s="464"/>
      <c r="G37" s="464"/>
      <c r="H37" s="464"/>
      <c r="I37" s="464">
        <v>29880</v>
      </c>
      <c r="J37" s="464">
        <v>990</v>
      </c>
      <c r="K37" s="464">
        <f>I37+J37</f>
        <v>30870</v>
      </c>
    </row>
    <row r="38" spans="1:11" ht="19.5" customHeight="1">
      <c r="A38" s="443" t="s">
        <v>390</v>
      </c>
      <c r="B38" s="95"/>
      <c r="C38" s="8"/>
      <c r="D38" s="8" t="s">
        <v>351</v>
      </c>
      <c r="E38" s="9">
        <v>3094000</v>
      </c>
      <c r="F38" s="105"/>
      <c r="G38" s="9"/>
      <c r="H38" s="9">
        <f>E38+G38</f>
        <v>3094000</v>
      </c>
      <c r="I38" s="9">
        <v>3094000</v>
      </c>
      <c r="J38" s="9">
        <f>J39</f>
        <v>0</v>
      </c>
      <c r="K38" s="9">
        <f>I38+J38</f>
        <v>3094000</v>
      </c>
    </row>
    <row r="39" spans="1:11" ht="19.5" customHeight="1">
      <c r="A39" s="13"/>
      <c r="B39" s="10">
        <v>90015</v>
      </c>
      <c r="C39" s="10"/>
      <c r="D39" s="11" t="s">
        <v>352</v>
      </c>
      <c r="E39" s="244">
        <v>3094000</v>
      </c>
      <c r="F39" s="238"/>
      <c r="G39" s="244"/>
      <c r="H39" s="244">
        <f>E39+G39</f>
        <v>3094000</v>
      </c>
      <c r="I39" s="244">
        <v>3094000</v>
      </c>
      <c r="J39" s="244">
        <f>J40</f>
        <v>0</v>
      </c>
      <c r="K39" s="244">
        <f>I39+J39</f>
        <v>3094000</v>
      </c>
    </row>
    <row r="40" spans="1:12" ht="26.25" customHeight="1">
      <c r="A40" s="13"/>
      <c r="B40" s="13"/>
      <c r="C40" s="89"/>
      <c r="D40" s="457" t="s">
        <v>391</v>
      </c>
      <c r="E40" s="100"/>
      <c r="F40" s="242"/>
      <c r="G40" s="100"/>
      <c r="H40" s="100"/>
      <c r="I40" s="100">
        <v>2955000</v>
      </c>
      <c r="J40" s="100">
        <f>SUM(J41:J42)</f>
        <v>0</v>
      </c>
      <c r="K40" s="100">
        <f aca="true" t="shared" si="1" ref="K40:K49">I40+J40</f>
        <v>2955000</v>
      </c>
      <c r="L40" s="293"/>
    </row>
    <row r="41" spans="1:12" ht="19.5" customHeight="1">
      <c r="A41" s="13"/>
      <c r="B41" s="13"/>
      <c r="C41" s="58">
        <v>4260</v>
      </c>
      <c r="D41" s="241" t="s">
        <v>392</v>
      </c>
      <c r="E41" s="247"/>
      <c r="F41" s="458"/>
      <c r="G41" s="247"/>
      <c r="H41" s="247"/>
      <c r="I41" s="247">
        <v>1975000</v>
      </c>
      <c r="J41" s="247">
        <v>260000</v>
      </c>
      <c r="K41" s="247">
        <f>I41+J41</f>
        <v>2235000</v>
      </c>
      <c r="L41" s="293"/>
    </row>
    <row r="42" spans="1:12" ht="19.5" customHeight="1">
      <c r="A42" s="13"/>
      <c r="B42" s="13"/>
      <c r="C42" s="58">
        <v>4300</v>
      </c>
      <c r="D42" s="241" t="s">
        <v>336</v>
      </c>
      <c r="E42" s="292"/>
      <c r="F42" s="243"/>
      <c r="G42" s="292"/>
      <c r="H42" s="292"/>
      <c r="I42" s="292">
        <v>980000</v>
      </c>
      <c r="J42" s="292">
        <v>-260000</v>
      </c>
      <c r="K42" s="292">
        <f t="shared" si="1"/>
        <v>720000</v>
      </c>
      <c r="L42" s="294"/>
    </row>
    <row r="43" spans="1:11" ht="27.75" customHeight="1" thickBot="1">
      <c r="A43" s="261"/>
      <c r="B43" s="262"/>
      <c r="C43" s="262"/>
      <c r="D43" s="263" t="s">
        <v>316</v>
      </c>
      <c r="E43" s="264">
        <v>28100024</v>
      </c>
      <c r="F43" s="264"/>
      <c r="G43" s="264">
        <f>G44</f>
        <v>12000</v>
      </c>
      <c r="H43" s="264">
        <f>E43+G43</f>
        <v>28112024</v>
      </c>
      <c r="I43" s="265">
        <v>20291024</v>
      </c>
      <c r="J43" s="264">
        <f>J44</f>
        <v>12000</v>
      </c>
      <c r="K43" s="264">
        <f t="shared" si="1"/>
        <v>20303024</v>
      </c>
    </row>
    <row r="44" spans="1:11" ht="19.5" customHeight="1" thickTop="1">
      <c r="A44" s="54">
        <v>853</v>
      </c>
      <c r="B44" s="55"/>
      <c r="C44" s="55"/>
      <c r="D44" s="56" t="s">
        <v>216</v>
      </c>
      <c r="E44" s="57">
        <v>4199240</v>
      </c>
      <c r="F44" s="57"/>
      <c r="G44" s="57">
        <f>G45</f>
        <v>12000</v>
      </c>
      <c r="H44" s="57">
        <f>E44+G44</f>
        <v>4211240</v>
      </c>
      <c r="I44" s="57">
        <v>4171240</v>
      </c>
      <c r="J44" s="57">
        <f>J45</f>
        <v>12000</v>
      </c>
      <c r="K44" s="57">
        <f t="shared" si="1"/>
        <v>4183240</v>
      </c>
    </row>
    <row r="45" spans="1:11" ht="19.5" customHeight="1">
      <c r="A45" s="90"/>
      <c r="B45" s="10">
        <v>85321</v>
      </c>
      <c r="C45" s="10"/>
      <c r="D45" s="10" t="s">
        <v>397</v>
      </c>
      <c r="E45" s="168">
        <v>369200</v>
      </c>
      <c r="F45" s="168"/>
      <c r="G45" s="62">
        <f>G46</f>
        <v>12000</v>
      </c>
      <c r="H45" s="168">
        <f>E45+G45</f>
        <v>381200</v>
      </c>
      <c r="I45" s="168">
        <v>369200</v>
      </c>
      <c r="J45" s="168">
        <f>J48</f>
        <v>12000</v>
      </c>
      <c r="K45" s="168">
        <f t="shared" si="1"/>
        <v>381200</v>
      </c>
    </row>
    <row r="46" spans="1:11" ht="24.75" customHeight="1">
      <c r="A46" s="13"/>
      <c r="B46" s="13"/>
      <c r="C46" s="13"/>
      <c r="D46" s="38" t="s">
        <v>398</v>
      </c>
      <c r="E46" s="39">
        <v>359200</v>
      </c>
      <c r="F46" s="39"/>
      <c r="G46" s="39">
        <f>G47</f>
        <v>12000</v>
      </c>
      <c r="H46" s="39">
        <f>E46+G46</f>
        <v>371200</v>
      </c>
      <c r="I46" s="385"/>
      <c r="J46" s="385"/>
      <c r="K46" s="385"/>
    </row>
    <row r="47" spans="1:11" ht="37.5" customHeight="1">
      <c r="A47" s="16"/>
      <c r="B47" s="16"/>
      <c r="C47" s="279">
        <v>211</v>
      </c>
      <c r="D47" s="280" t="s">
        <v>299</v>
      </c>
      <c r="E47" s="276">
        <v>359200</v>
      </c>
      <c r="F47" s="276"/>
      <c r="G47" s="19">
        <v>12000</v>
      </c>
      <c r="H47" s="276">
        <f>E47+G47</f>
        <v>371200</v>
      </c>
      <c r="I47" s="460"/>
      <c r="J47" s="460"/>
      <c r="K47" s="460"/>
    </row>
    <row r="48" spans="1:11" ht="25.5" customHeight="1">
      <c r="A48" s="13"/>
      <c r="B48" s="13"/>
      <c r="C48" s="13"/>
      <c r="D48" s="38" t="s">
        <v>399</v>
      </c>
      <c r="E48" s="337"/>
      <c r="F48" s="337"/>
      <c r="G48" s="337"/>
      <c r="H48" s="337"/>
      <c r="I48" s="337">
        <v>359200</v>
      </c>
      <c r="J48" s="337">
        <f>J49</f>
        <v>12000</v>
      </c>
      <c r="K48" s="337">
        <f t="shared" si="1"/>
        <v>371200</v>
      </c>
    </row>
    <row r="49" spans="1:11" ht="19.5" customHeight="1">
      <c r="A49" s="13"/>
      <c r="B49" s="13"/>
      <c r="C49" s="58">
        <v>4300</v>
      </c>
      <c r="D49" s="241" t="s">
        <v>336</v>
      </c>
      <c r="E49" s="15"/>
      <c r="F49" s="15"/>
      <c r="G49" s="15"/>
      <c r="H49" s="15"/>
      <c r="I49" s="15">
        <v>30798</v>
      </c>
      <c r="J49" s="15">
        <v>12000</v>
      </c>
      <c r="K49" s="15">
        <f t="shared" si="1"/>
        <v>42798</v>
      </c>
    </row>
    <row r="50" spans="1:11" ht="18" customHeight="1">
      <c r="A50" s="94"/>
      <c r="B50" s="271"/>
      <c r="C50" s="272"/>
      <c r="D50" s="273" t="s">
        <v>333</v>
      </c>
      <c r="E50" s="273"/>
      <c r="F50" s="273"/>
      <c r="G50" s="273"/>
      <c r="H50" s="274"/>
      <c r="I50" s="275"/>
      <c r="J50" s="273"/>
      <c r="K50" s="273"/>
    </row>
    <row r="51" spans="1:11" ht="29.25" customHeight="1">
      <c r="A51" s="29"/>
      <c r="B51" s="23"/>
      <c r="C51" s="23">
        <v>235</v>
      </c>
      <c r="D51" s="12" t="s">
        <v>317</v>
      </c>
      <c r="E51" s="19">
        <v>8471000</v>
      </c>
      <c r="F51" s="19"/>
      <c r="G51" s="19"/>
      <c r="H51" s="276">
        <f>E51+G51</f>
        <v>8471000</v>
      </c>
      <c r="I51" s="19"/>
      <c r="J51" s="19"/>
      <c r="K51" s="19"/>
    </row>
  </sheetData>
  <mergeCells count="6">
    <mergeCell ref="I7:I8"/>
    <mergeCell ref="K7:K8"/>
    <mergeCell ref="A3:D3"/>
    <mergeCell ref="A4:D4"/>
    <mergeCell ref="E7:E8"/>
    <mergeCell ref="H7:H8"/>
  </mergeCells>
  <printOptions horizontalCentered="1"/>
  <pageMargins left="0.3937007874015748" right="0.3937007874015748" top="0.7874015748031497" bottom="0.7874015748031497" header="0.5118110236220472" footer="0.5118110236220472"/>
  <pageSetup firstPageNumber="49" useFirstPageNumber="1" horizontalDpi="300" verticalDpi="300" orientation="landscape" paperSize="9" scale="8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="75" zoomScaleNormal="75" workbookViewId="0" topLeftCell="A26">
      <selection activeCell="F35" sqref="F35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52.625" style="0" customWidth="1"/>
    <col min="4" max="4" width="16.75390625" style="0" customWidth="1"/>
    <col min="5" max="8" width="14.75390625" style="0" customWidth="1"/>
    <col min="9" max="16384" width="11.375" style="0" customWidth="1"/>
  </cols>
  <sheetData>
    <row r="1" spans="1:8" ht="15.75" customHeight="1">
      <c r="A1" s="176"/>
      <c r="B1" s="176"/>
      <c r="C1" s="176"/>
      <c r="D1" s="176"/>
      <c r="E1" s="177"/>
      <c r="F1" s="177"/>
      <c r="G1" s="178" t="s">
        <v>341</v>
      </c>
      <c r="H1" s="177"/>
    </row>
    <row r="2" spans="1:8" ht="15.75" customHeight="1">
      <c r="A2" s="176"/>
      <c r="B2" s="179"/>
      <c r="C2" s="176"/>
      <c r="D2" s="176"/>
      <c r="E2" s="177"/>
      <c r="F2" s="177"/>
      <c r="G2" s="27" t="s">
        <v>365</v>
      </c>
      <c r="H2" s="177"/>
    </row>
    <row r="3" spans="1:8" ht="15.75" customHeight="1">
      <c r="A3" s="176"/>
      <c r="B3" s="176"/>
      <c r="C3" s="180" t="s">
        <v>286</v>
      </c>
      <c r="D3" s="176"/>
      <c r="E3" s="177"/>
      <c r="F3" s="176"/>
      <c r="G3" s="27" t="s">
        <v>246</v>
      </c>
      <c r="H3" s="177"/>
    </row>
    <row r="4" spans="1:8" ht="15.75" customHeight="1">
      <c r="A4" s="176"/>
      <c r="B4" s="176"/>
      <c r="C4" s="176"/>
      <c r="D4" s="176"/>
      <c r="E4" s="177"/>
      <c r="F4" s="176"/>
      <c r="G4" s="27" t="s">
        <v>366</v>
      </c>
      <c r="H4" s="177"/>
    </row>
    <row r="5" spans="1:8" ht="22.5" customHeight="1">
      <c r="A5" s="176"/>
      <c r="B5" s="176"/>
      <c r="C5" s="179"/>
      <c r="D5" s="177"/>
      <c r="E5" s="177"/>
      <c r="F5" s="177"/>
      <c r="G5" s="177"/>
      <c r="H5" s="177"/>
    </row>
    <row r="6" spans="1:8" ht="13.5" thickBot="1">
      <c r="A6" s="176"/>
      <c r="B6" s="176"/>
      <c r="C6" s="179"/>
      <c r="D6" s="177"/>
      <c r="E6" s="181"/>
      <c r="F6" s="181"/>
      <c r="G6" s="181"/>
      <c r="H6" s="692" t="s">
        <v>332</v>
      </c>
    </row>
    <row r="7" spans="1:8" ht="44.25" customHeight="1" thickBot="1" thickTop="1">
      <c r="A7" s="182" t="s">
        <v>218</v>
      </c>
      <c r="B7" s="391" t="s">
        <v>243</v>
      </c>
      <c r="C7" s="427" t="s">
        <v>347</v>
      </c>
      <c r="D7" s="183" t="s">
        <v>822</v>
      </c>
      <c r="E7" s="184" t="s">
        <v>219</v>
      </c>
      <c r="F7" s="184" t="s">
        <v>220</v>
      </c>
      <c r="G7" s="184" t="s">
        <v>221</v>
      </c>
      <c r="H7" s="184" t="s">
        <v>222</v>
      </c>
    </row>
    <row r="8" spans="1:8" ht="18" customHeight="1" thickBot="1" thickTop="1">
      <c r="A8" s="516">
        <v>1</v>
      </c>
      <c r="B8" s="517">
        <v>2</v>
      </c>
      <c r="C8" s="518">
        <v>3</v>
      </c>
      <c r="D8" s="519">
        <v>4</v>
      </c>
      <c r="E8" s="519">
        <v>5</v>
      </c>
      <c r="F8" s="519">
        <v>6</v>
      </c>
      <c r="G8" s="519">
        <v>7</v>
      </c>
      <c r="H8" s="519">
        <v>8</v>
      </c>
    </row>
    <row r="9" spans="1:8" ht="24" customHeight="1" thickBot="1" thickTop="1">
      <c r="A9" s="185"/>
      <c r="B9" s="392"/>
      <c r="C9" s="400" t="s">
        <v>244</v>
      </c>
      <c r="D9" s="304">
        <f aca="true" t="shared" si="0" ref="D9:D43">SUM(E9:H9)</f>
        <v>642693444</v>
      </c>
      <c r="E9" s="304">
        <f>167121067+E23</f>
        <v>167063817</v>
      </c>
      <c r="F9" s="304">
        <f>158054675+F23</f>
        <v>157863425</v>
      </c>
      <c r="G9" s="304">
        <f>157933401+G16+G19+G23+G26+G28+G33+G36+G39+G43</f>
        <v>158547349</v>
      </c>
      <c r="H9" s="307">
        <f>159054103+H23+H26+H36+H43</f>
        <v>159218853</v>
      </c>
    </row>
    <row r="10" spans="1:8" ht="22.5" customHeight="1" thickBot="1" thickTop="1">
      <c r="A10" s="186"/>
      <c r="B10" s="393"/>
      <c r="C10" s="401" t="s">
        <v>250</v>
      </c>
      <c r="D10" s="305">
        <f t="shared" si="0"/>
        <v>628430499</v>
      </c>
      <c r="E10" s="305">
        <f>163487673+E23</f>
        <v>163430423</v>
      </c>
      <c r="F10" s="305">
        <f>154403708+F23</f>
        <v>154212458</v>
      </c>
      <c r="G10" s="305">
        <f>154600088+G16+G19+G23+G26+G28+G33+G36+G39+G43</f>
        <v>155214036</v>
      </c>
      <c r="H10" s="305">
        <f>155408832+H23+H26+H36+H43</f>
        <v>155573582</v>
      </c>
    </row>
    <row r="11" spans="1:8" ht="20.25" customHeight="1" thickTop="1">
      <c r="A11" s="187"/>
      <c r="B11" s="394"/>
      <c r="C11" s="402" t="s">
        <v>241</v>
      </c>
      <c r="D11" s="306">
        <f t="shared" si="0"/>
        <v>564554849</v>
      </c>
      <c r="E11" s="306">
        <f>150611873+E23</f>
        <v>150554623</v>
      </c>
      <c r="F11" s="306">
        <f>136068278+F23</f>
        <v>135877028</v>
      </c>
      <c r="G11" s="306">
        <f>137692788+G16+G19+G23+G26+G28+G33+G36+G39+G43</f>
        <v>138306736</v>
      </c>
      <c r="H11" s="306">
        <f>139651712+H23+H26+H43+H36</f>
        <v>139816462</v>
      </c>
    </row>
    <row r="12" spans="1:8" s="190" customFormat="1" ht="21" customHeight="1">
      <c r="A12" s="188"/>
      <c r="B12" s="395"/>
      <c r="C12" s="189" t="s">
        <v>245</v>
      </c>
      <c r="D12" s="309">
        <f t="shared" si="0"/>
        <v>375570177</v>
      </c>
      <c r="E12" s="309">
        <f>98711767+E23</f>
        <v>98654517</v>
      </c>
      <c r="F12" s="309">
        <f>90215102+F23</f>
        <v>90023852</v>
      </c>
      <c r="G12" s="309">
        <f>92184291+G16+G19+G23+G26+G28</f>
        <v>92449767</v>
      </c>
      <c r="H12" s="309">
        <f>94408291+H23+H26</f>
        <v>94442041</v>
      </c>
    </row>
    <row r="13" spans="1:8" s="190" customFormat="1" ht="21" customHeight="1" thickBot="1">
      <c r="A13" s="58"/>
      <c r="B13" s="396"/>
      <c r="C13" s="403" t="s">
        <v>231</v>
      </c>
      <c r="D13" s="161">
        <f>SUM(E13:H13)</f>
        <v>5492187</v>
      </c>
      <c r="E13" s="161">
        <v>1687467</v>
      </c>
      <c r="F13" s="161">
        <v>2395984</v>
      </c>
      <c r="G13" s="161">
        <f>147000+G16+G19</f>
        <v>377736</v>
      </c>
      <c r="H13" s="161">
        <v>1031000</v>
      </c>
    </row>
    <row r="14" spans="1:8" s="190" customFormat="1" ht="20.25" customHeight="1" thickTop="1">
      <c r="A14" s="166">
        <v>801</v>
      </c>
      <c r="B14" s="397"/>
      <c r="C14" s="404" t="s">
        <v>262</v>
      </c>
      <c r="D14" s="57">
        <f>SUM(E14:H14)</f>
        <v>659863</v>
      </c>
      <c r="E14" s="57"/>
      <c r="F14" s="57">
        <v>362718</v>
      </c>
      <c r="G14" s="57">
        <f>120750+G16</f>
        <v>297145</v>
      </c>
      <c r="H14" s="57"/>
    </row>
    <row r="15" spans="1:8" s="190" customFormat="1" ht="20.25" customHeight="1">
      <c r="A15" s="324"/>
      <c r="B15" s="398">
        <v>80195</v>
      </c>
      <c r="C15" s="405" t="s">
        <v>235</v>
      </c>
      <c r="D15" s="325">
        <f>SUM(E15:H15)</f>
        <v>483468</v>
      </c>
      <c r="E15" s="325"/>
      <c r="F15" s="325">
        <v>362718</v>
      </c>
      <c r="G15" s="325">
        <v>120750</v>
      </c>
      <c r="H15" s="325"/>
    </row>
    <row r="16" spans="1:8" s="111" customFormat="1" ht="18.75" customHeight="1">
      <c r="A16" s="343"/>
      <c r="B16" s="399"/>
      <c r="C16" s="406"/>
      <c r="D16" s="344">
        <f>SUM(E16:H16)</f>
        <v>176395</v>
      </c>
      <c r="E16" s="344"/>
      <c r="F16" s="344"/>
      <c r="G16" s="344">
        <v>176395</v>
      </c>
      <c r="H16" s="344"/>
    </row>
    <row r="17" spans="1:8" s="190" customFormat="1" ht="20.25" customHeight="1">
      <c r="A17" s="166">
        <v>854</v>
      </c>
      <c r="B17" s="397"/>
      <c r="C17" s="404" t="s">
        <v>280</v>
      </c>
      <c r="D17" s="57">
        <f t="shared" si="0"/>
        <v>159341</v>
      </c>
      <c r="E17" s="57"/>
      <c r="F17" s="57">
        <v>78750</v>
      </c>
      <c r="G17" s="57">
        <f>26250+G19</f>
        <v>80591</v>
      </c>
      <c r="H17" s="57"/>
    </row>
    <row r="18" spans="1:8" s="190" customFormat="1" ht="20.25" customHeight="1">
      <c r="A18" s="324"/>
      <c r="B18" s="398">
        <v>85495</v>
      </c>
      <c r="C18" s="405" t="s">
        <v>235</v>
      </c>
      <c r="D18" s="325">
        <f t="shared" si="0"/>
        <v>105000</v>
      </c>
      <c r="E18" s="325"/>
      <c r="F18" s="325">
        <v>78750</v>
      </c>
      <c r="G18" s="325">
        <v>26250</v>
      </c>
      <c r="H18" s="325"/>
    </row>
    <row r="19" spans="1:8" s="111" customFormat="1" ht="18.75" customHeight="1">
      <c r="A19" s="343"/>
      <c r="B19" s="399"/>
      <c r="C19" s="406"/>
      <c r="D19" s="344">
        <f t="shared" si="0"/>
        <v>54341</v>
      </c>
      <c r="E19" s="344"/>
      <c r="F19" s="344"/>
      <c r="G19" s="344">
        <v>54341</v>
      </c>
      <c r="H19" s="344"/>
    </row>
    <row r="20" spans="1:8" s="342" customFormat="1" ht="33.75" customHeight="1" thickBot="1">
      <c r="A20" s="70"/>
      <c r="B20" s="407"/>
      <c r="C20" s="413" t="s">
        <v>348</v>
      </c>
      <c r="D20" s="75">
        <f t="shared" si="0"/>
        <v>34041485</v>
      </c>
      <c r="E20" s="75">
        <f>8650171+E23</f>
        <v>8592921</v>
      </c>
      <c r="F20" s="75">
        <f>8958308+F23+F26+F28</f>
        <v>8767058</v>
      </c>
      <c r="G20" s="75">
        <f>8336008+G23+G26+G28</f>
        <v>8370748</v>
      </c>
      <c r="H20" s="75">
        <f>8277008+H23+H26</f>
        <v>8310758</v>
      </c>
    </row>
    <row r="21" spans="1:8" s="190" customFormat="1" ht="21" customHeight="1" thickTop="1">
      <c r="A21" s="54">
        <v>853</v>
      </c>
      <c r="B21" s="408"/>
      <c r="C21" s="404" t="s">
        <v>216</v>
      </c>
      <c r="D21" s="57">
        <f t="shared" si="0"/>
        <v>28768870</v>
      </c>
      <c r="E21" s="57">
        <f>7373700+E23</f>
        <v>7316450</v>
      </c>
      <c r="F21" s="57">
        <f>7188980+F23</f>
        <v>6997730</v>
      </c>
      <c r="G21" s="57">
        <f>7193100+G23+G26+G28</f>
        <v>7227840</v>
      </c>
      <c r="H21" s="57">
        <f>7193100+H23+H26</f>
        <v>7226850</v>
      </c>
    </row>
    <row r="22" spans="1:8" s="190" customFormat="1" ht="27" customHeight="1">
      <c r="A22" s="324"/>
      <c r="B22" s="398">
        <v>85313</v>
      </c>
      <c r="C22" s="434" t="s">
        <v>408</v>
      </c>
      <c r="D22" s="325">
        <f aca="true" t="shared" si="1" ref="D22:D28">SUM(E22:H22)</f>
        <v>1473000</v>
      </c>
      <c r="E22" s="325">
        <v>368250</v>
      </c>
      <c r="F22" s="325">
        <v>368250</v>
      </c>
      <c r="G22" s="325">
        <v>368250</v>
      </c>
      <c r="H22" s="325">
        <v>368250</v>
      </c>
    </row>
    <row r="23" spans="1:8" s="111" customFormat="1" ht="18.75" customHeight="1">
      <c r="A23" s="343"/>
      <c r="B23" s="523"/>
      <c r="C23" s="543"/>
      <c r="D23" s="524">
        <f t="shared" si="1"/>
        <v>-473000</v>
      </c>
      <c r="E23" s="524">
        <v>-57250</v>
      </c>
      <c r="F23" s="524">
        <v>-191250</v>
      </c>
      <c r="G23" s="524">
        <v>-112250</v>
      </c>
      <c r="H23" s="524">
        <v>-112250</v>
      </c>
    </row>
    <row r="24" spans="1:8" s="111" customFormat="1" ht="18.75" customHeight="1">
      <c r="A24" s="545"/>
      <c r="B24" s="545"/>
      <c r="C24" s="546"/>
      <c r="D24" s="547"/>
      <c r="E24" s="547"/>
      <c r="F24" s="547"/>
      <c r="G24" s="547"/>
      <c r="H24" s="547"/>
    </row>
    <row r="25" spans="1:8" s="111" customFormat="1" ht="24.75" customHeight="1">
      <c r="A25" s="343"/>
      <c r="B25" s="523">
        <v>85314</v>
      </c>
      <c r="C25" s="334" t="s">
        <v>411</v>
      </c>
      <c r="D25" s="544">
        <f t="shared" si="1"/>
        <v>20316000</v>
      </c>
      <c r="E25" s="524">
        <v>5079000</v>
      </c>
      <c r="F25" s="524">
        <v>5079000</v>
      </c>
      <c r="G25" s="524">
        <v>5079000</v>
      </c>
      <c r="H25" s="524">
        <v>5079000</v>
      </c>
    </row>
    <row r="26" spans="1:8" s="111" customFormat="1" ht="19.5" customHeight="1">
      <c r="A26" s="343"/>
      <c r="B26" s="523"/>
      <c r="C26" s="406"/>
      <c r="D26" s="344">
        <f t="shared" si="1"/>
        <v>292000</v>
      </c>
      <c r="E26" s="524"/>
      <c r="F26" s="524"/>
      <c r="G26" s="524">
        <v>146000</v>
      </c>
      <c r="H26" s="524">
        <v>146000</v>
      </c>
    </row>
    <row r="27" spans="1:8" s="190" customFormat="1" ht="20.25" customHeight="1">
      <c r="A27" s="89"/>
      <c r="B27" s="398">
        <v>85395</v>
      </c>
      <c r="C27" s="405" t="s">
        <v>235</v>
      </c>
      <c r="D27" s="325">
        <f t="shared" si="1"/>
        <v>29880</v>
      </c>
      <c r="E27" s="325"/>
      <c r="F27" s="325">
        <v>29880</v>
      </c>
      <c r="G27" s="325"/>
      <c r="H27" s="325"/>
    </row>
    <row r="28" spans="1:8" s="111" customFormat="1" ht="18.75" customHeight="1">
      <c r="A28" s="343"/>
      <c r="B28" s="399"/>
      <c r="C28" s="406"/>
      <c r="D28" s="344">
        <f t="shared" si="1"/>
        <v>990</v>
      </c>
      <c r="E28" s="344"/>
      <c r="F28" s="344"/>
      <c r="G28" s="344">
        <v>990</v>
      </c>
      <c r="H28" s="344"/>
    </row>
    <row r="29" spans="1:8" s="190" customFormat="1" ht="19.5" customHeight="1">
      <c r="A29" s="417"/>
      <c r="B29" s="395"/>
      <c r="C29" s="189" t="s">
        <v>287</v>
      </c>
      <c r="D29" s="309">
        <f t="shared" si="0"/>
        <v>188984672</v>
      </c>
      <c r="E29" s="309">
        <v>51900106</v>
      </c>
      <c r="F29" s="309">
        <v>45853176</v>
      </c>
      <c r="G29" s="309">
        <f>45508497+G33+G36+G39+G43</f>
        <v>45856969</v>
      </c>
      <c r="H29" s="309">
        <f>45243421+H36+H43</f>
        <v>45374421</v>
      </c>
    </row>
    <row r="30" spans="1:8" s="190" customFormat="1" ht="19.5" customHeight="1" thickBot="1">
      <c r="A30" s="235"/>
      <c r="B30" s="425"/>
      <c r="C30" s="414" t="s">
        <v>231</v>
      </c>
      <c r="D30" s="264">
        <f t="shared" si="0"/>
        <v>23281163</v>
      </c>
      <c r="E30" s="264">
        <v>4714750</v>
      </c>
      <c r="F30" s="264">
        <v>6603277</v>
      </c>
      <c r="G30" s="264">
        <f>5899226+G33+G36+G39</f>
        <v>6241698</v>
      </c>
      <c r="H30" s="264">
        <f>5596438+H36</f>
        <v>5721438</v>
      </c>
    </row>
    <row r="31" spans="1:8" s="190" customFormat="1" ht="19.5" customHeight="1" thickTop="1">
      <c r="A31" s="166">
        <v>801</v>
      </c>
      <c r="B31" s="397"/>
      <c r="C31" s="404" t="s">
        <v>262</v>
      </c>
      <c r="D31" s="386">
        <f t="shared" si="0"/>
        <v>764266</v>
      </c>
      <c r="E31" s="386"/>
      <c r="F31" s="386">
        <v>362250</v>
      </c>
      <c r="G31" s="386">
        <f>220786+G33</f>
        <v>402016</v>
      </c>
      <c r="H31" s="386"/>
    </row>
    <row r="32" spans="1:8" s="111" customFormat="1" ht="19.5" customHeight="1">
      <c r="A32" s="324"/>
      <c r="B32" s="398">
        <v>80195</v>
      </c>
      <c r="C32" s="405" t="s">
        <v>235</v>
      </c>
      <c r="D32" s="96">
        <f t="shared" si="0"/>
        <v>498000</v>
      </c>
      <c r="E32" s="96"/>
      <c r="F32" s="96">
        <v>362250</v>
      </c>
      <c r="G32" s="96">
        <v>135750</v>
      </c>
      <c r="H32" s="96"/>
    </row>
    <row r="33" spans="1:8" s="111" customFormat="1" ht="19.5" customHeight="1">
      <c r="A33" s="343"/>
      <c r="B33" s="399"/>
      <c r="C33" s="406"/>
      <c r="D33" s="308">
        <f t="shared" si="0"/>
        <v>181230</v>
      </c>
      <c r="E33" s="308"/>
      <c r="F33" s="308"/>
      <c r="G33" s="308">
        <v>181230</v>
      </c>
      <c r="H33" s="308"/>
    </row>
    <row r="34" spans="1:8" s="190" customFormat="1" ht="19.5" customHeight="1">
      <c r="A34" s="466">
        <v>853</v>
      </c>
      <c r="B34" s="467"/>
      <c r="C34" s="415" t="s">
        <v>216</v>
      </c>
      <c r="D34" s="386">
        <f>SUM(E34:H34)</f>
        <v>21472396</v>
      </c>
      <c r="E34" s="386">
        <v>4714000</v>
      </c>
      <c r="F34" s="386">
        <v>5253018</v>
      </c>
      <c r="G34" s="386">
        <f>5659690+G36</f>
        <v>5784690</v>
      </c>
      <c r="H34" s="386">
        <f>5595688+H36</f>
        <v>5720688</v>
      </c>
    </row>
    <row r="35" spans="1:8" s="111" customFormat="1" ht="19.5" customHeight="1">
      <c r="A35" s="420"/>
      <c r="B35" s="411" t="s">
        <v>404</v>
      </c>
      <c r="C35" s="416" t="s">
        <v>401</v>
      </c>
      <c r="D35" s="96">
        <f>SUM(E35:H35)</f>
        <v>4254110</v>
      </c>
      <c r="E35" s="96">
        <v>915500</v>
      </c>
      <c r="F35" s="96">
        <v>1112870</v>
      </c>
      <c r="G35" s="96">
        <v>1112870</v>
      </c>
      <c r="H35" s="96">
        <v>1112870</v>
      </c>
    </row>
    <row r="36" spans="1:8" s="111" customFormat="1" ht="19.5" customHeight="1">
      <c r="A36" s="465"/>
      <c r="B36" s="412"/>
      <c r="C36" s="191"/>
      <c r="D36" s="308">
        <f>SUM(E36:H36)</f>
        <v>250000</v>
      </c>
      <c r="E36" s="308"/>
      <c r="F36" s="19"/>
      <c r="G36" s="308">
        <v>125000</v>
      </c>
      <c r="H36" s="308">
        <v>125000</v>
      </c>
    </row>
    <row r="37" spans="1:8" s="190" customFormat="1" ht="19.5" customHeight="1">
      <c r="A37" s="166">
        <v>854</v>
      </c>
      <c r="B37" s="397"/>
      <c r="C37" s="404" t="s">
        <v>280</v>
      </c>
      <c r="D37" s="386">
        <f t="shared" si="0"/>
        <v>385501</v>
      </c>
      <c r="E37" s="386"/>
      <c r="F37" s="386">
        <v>331259</v>
      </c>
      <c r="G37" s="386">
        <f>18000+G39</f>
        <v>54242</v>
      </c>
      <c r="H37" s="386"/>
    </row>
    <row r="38" spans="1:8" s="111" customFormat="1" ht="19.5" customHeight="1">
      <c r="A38" s="324"/>
      <c r="B38" s="398">
        <v>85495</v>
      </c>
      <c r="C38" s="405" t="s">
        <v>235</v>
      </c>
      <c r="D38" s="96">
        <f t="shared" si="0"/>
        <v>72000</v>
      </c>
      <c r="E38" s="96"/>
      <c r="F38" s="96">
        <v>54000</v>
      </c>
      <c r="G38" s="96">
        <v>18000</v>
      </c>
      <c r="H38" s="96"/>
    </row>
    <row r="39" spans="1:8" s="111" customFormat="1" ht="19.5" customHeight="1">
      <c r="A39" s="343"/>
      <c r="B39" s="399"/>
      <c r="C39" s="406"/>
      <c r="D39" s="308">
        <f t="shared" si="0"/>
        <v>36242</v>
      </c>
      <c r="E39" s="308"/>
      <c r="F39" s="308"/>
      <c r="G39" s="308">
        <v>36242</v>
      </c>
      <c r="H39" s="308"/>
    </row>
    <row r="40" spans="1:8" ht="27.75" customHeight="1" thickBot="1">
      <c r="A40" s="418"/>
      <c r="B40" s="409"/>
      <c r="C40" s="413" t="s">
        <v>288</v>
      </c>
      <c r="D40" s="75">
        <f t="shared" si="0"/>
        <v>20306774</v>
      </c>
      <c r="E40" s="75">
        <v>5176733</v>
      </c>
      <c r="F40" s="75">
        <v>5119915</v>
      </c>
      <c r="G40" s="75">
        <f>4996706+G43</f>
        <v>5002706</v>
      </c>
      <c r="H40" s="75">
        <f>5001420+H43</f>
        <v>5007420</v>
      </c>
    </row>
    <row r="41" spans="1:8" s="190" customFormat="1" ht="21" customHeight="1" thickTop="1">
      <c r="A41" s="419">
        <v>853</v>
      </c>
      <c r="B41" s="410"/>
      <c r="C41" s="415" t="s">
        <v>216</v>
      </c>
      <c r="D41" s="386">
        <f t="shared" si="0"/>
        <v>4183240</v>
      </c>
      <c r="E41" s="386">
        <f>1004601</f>
        <v>1004601</v>
      </c>
      <c r="F41" s="386">
        <f>1055905</f>
        <v>1055905</v>
      </c>
      <c r="G41" s="386">
        <f>1053010+G43</f>
        <v>1059010</v>
      </c>
      <c r="H41" s="386">
        <f>1057724+H43</f>
        <v>1063724</v>
      </c>
    </row>
    <row r="42" spans="1:8" s="111" customFormat="1" ht="19.5" customHeight="1">
      <c r="A42" s="420"/>
      <c r="B42" s="411" t="s">
        <v>400</v>
      </c>
      <c r="C42" s="416" t="s">
        <v>397</v>
      </c>
      <c r="D42" s="96">
        <f t="shared" si="0"/>
        <v>369200</v>
      </c>
      <c r="E42" s="96">
        <v>87500</v>
      </c>
      <c r="F42" s="96">
        <v>93900</v>
      </c>
      <c r="G42" s="96">
        <v>93900</v>
      </c>
      <c r="H42" s="96">
        <v>93900</v>
      </c>
    </row>
    <row r="43" spans="1:8" s="111" customFormat="1" ht="18.75" customHeight="1">
      <c r="A43" s="421"/>
      <c r="B43" s="412"/>
      <c r="C43" s="191"/>
      <c r="D43" s="308">
        <f t="shared" si="0"/>
        <v>12000</v>
      </c>
      <c r="E43" s="308"/>
      <c r="F43" s="308"/>
      <c r="G43" s="308">
        <v>6000</v>
      </c>
      <c r="H43" s="308">
        <v>6000</v>
      </c>
    </row>
  </sheetData>
  <printOptions horizontalCentered="1"/>
  <pageMargins left="0.3937007874015748" right="0.3937007874015748" top="0.6692913385826772" bottom="0.5905511811023623" header="0.5118110236220472" footer="0.3937007874015748"/>
  <pageSetup firstPageNumber="51" useFirstPageNumber="1" horizontalDpi="300" verticalDpi="300" orientation="landscape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91"/>
  <sheetViews>
    <sheetView zoomScale="75" zoomScaleNormal="75" workbookViewId="0" topLeftCell="A1">
      <selection activeCell="G2" sqref="G2:G4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0" customWidth="1"/>
    <col min="10" max="11" width="13.375" style="0" customWidth="1"/>
    <col min="12" max="16384" width="11.375" style="0" customWidth="1"/>
  </cols>
  <sheetData>
    <row r="1" spans="1:10" ht="18" customHeight="1">
      <c r="A1" s="192"/>
      <c r="B1" s="192"/>
      <c r="C1" s="192"/>
      <c r="D1" s="193"/>
      <c r="E1" s="193"/>
      <c r="F1" s="193"/>
      <c r="G1" s="194" t="s">
        <v>354</v>
      </c>
      <c r="H1" s="193"/>
      <c r="I1" s="195"/>
      <c r="J1" s="195"/>
    </row>
    <row r="2" spans="1:10" ht="15" customHeight="1">
      <c r="A2" s="192"/>
      <c r="B2" s="192"/>
      <c r="C2" s="192"/>
      <c r="D2" s="193"/>
      <c r="E2" s="193"/>
      <c r="F2" s="193"/>
      <c r="G2" s="27" t="s">
        <v>832</v>
      </c>
      <c r="H2" s="193"/>
      <c r="I2" s="195"/>
      <c r="J2" s="195"/>
    </row>
    <row r="3" spans="1:10" ht="18" customHeight="1">
      <c r="A3" s="192"/>
      <c r="B3" s="192"/>
      <c r="C3" s="196" t="s">
        <v>249</v>
      </c>
      <c r="D3" s="193"/>
      <c r="E3" s="193"/>
      <c r="F3" s="193"/>
      <c r="G3" s="27" t="s">
        <v>246</v>
      </c>
      <c r="H3" s="193"/>
      <c r="I3" s="195"/>
      <c r="J3" s="195"/>
    </row>
    <row r="4" spans="1:10" ht="18" customHeight="1">
      <c r="A4" s="192"/>
      <c r="B4" s="192"/>
      <c r="C4" s="197"/>
      <c r="D4" s="193"/>
      <c r="E4" s="193"/>
      <c r="F4" s="193"/>
      <c r="G4" s="27" t="s">
        <v>833</v>
      </c>
      <c r="H4" s="193"/>
      <c r="I4" s="195"/>
      <c r="J4" s="195"/>
    </row>
    <row r="5" spans="1:10" ht="5.25" customHeight="1">
      <c r="A5" s="192"/>
      <c r="B5" s="192"/>
      <c r="C5" s="198"/>
      <c r="D5" s="193"/>
      <c r="E5" s="193"/>
      <c r="F5" s="193"/>
      <c r="G5" s="193"/>
      <c r="H5" s="193"/>
      <c r="I5" s="195"/>
      <c r="J5" s="195"/>
    </row>
    <row r="6" spans="1:10" ht="15.75" thickBot="1">
      <c r="A6" s="192"/>
      <c r="B6" s="192"/>
      <c r="C6" s="192"/>
      <c r="D6" s="193"/>
      <c r="E6" s="193"/>
      <c r="F6" s="193"/>
      <c r="G6" s="193"/>
      <c r="H6" s="693" t="s">
        <v>332</v>
      </c>
      <c r="I6" s="195"/>
      <c r="J6" s="195"/>
    </row>
    <row r="7" spans="1:10" ht="19.5" customHeight="1" thickTop="1">
      <c r="A7" s="199"/>
      <c r="B7" s="199"/>
      <c r="C7" s="200" t="s">
        <v>331</v>
      </c>
      <c r="D7" s="755" t="s">
        <v>823</v>
      </c>
      <c r="E7" s="201"/>
      <c r="F7" s="202"/>
      <c r="G7" s="202"/>
      <c r="H7" s="201"/>
      <c r="I7" s="195"/>
      <c r="J7" s="195"/>
    </row>
    <row r="8" spans="1:10" ht="26.25" customHeight="1" thickBot="1">
      <c r="A8" s="203" t="s">
        <v>218</v>
      </c>
      <c r="B8" s="203" t="s">
        <v>329</v>
      </c>
      <c r="C8" s="433" t="s">
        <v>349</v>
      </c>
      <c r="D8" s="756"/>
      <c r="E8" s="204" t="s">
        <v>219</v>
      </c>
      <c r="F8" s="204" t="s">
        <v>220</v>
      </c>
      <c r="G8" s="204" t="s">
        <v>221</v>
      </c>
      <c r="H8" s="204" t="s">
        <v>222</v>
      </c>
      <c r="I8" s="195"/>
      <c r="J8" s="195"/>
    </row>
    <row r="9" spans="1:9" ht="14.25" customHeight="1" thickBot="1" thickTop="1">
      <c r="A9" s="205">
        <v>1</v>
      </c>
      <c r="B9" s="205">
        <v>2</v>
      </c>
      <c r="C9" s="205">
        <v>3</v>
      </c>
      <c r="D9" s="206">
        <v>4</v>
      </c>
      <c r="E9" s="206">
        <v>5</v>
      </c>
      <c r="F9" s="206">
        <v>6</v>
      </c>
      <c r="G9" s="206">
        <v>7</v>
      </c>
      <c r="H9" s="206">
        <v>8</v>
      </c>
      <c r="I9" s="195"/>
    </row>
    <row r="10" spans="1:11" s="30" customFormat="1" ht="21.75" customHeight="1" thickBot="1" thickTop="1">
      <c r="A10" s="207"/>
      <c r="B10" s="207"/>
      <c r="C10" s="208" t="s">
        <v>223</v>
      </c>
      <c r="D10" s="209">
        <f>SUM(E10:H10)</f>
        <v>667218444</v>
      </c>
      <c r="E10" s="209">
        <f>156451636+E22+E105</f>
        <v>156206351</v>
      </c>
      <c r="F10" s="209">
        <f>205814348+F37+F39+F41+F43+F45+F47+F49+F52+F55+F58+F60+F64+F66+F71+F75+F96+F105+F120+F122+F124+F126+F128+F130+F132+F134+F137+F139+F141+F143+F145+F147+F150+F152+F154+F156+F159+F161+F163+F165+F167+F169+F171+F173+F175+F177+F179+F182+F186+F191+F91</f>
        <v>188636403</v>
      </c>
      <c r="G10" s="209">
        <f>160736558+G17+G23+G28+G32+G37+G39+G41+G43+G45+G47+G49+G52+G55+G58+G60+G62+G64+G66+G75+G80+G86+G91+G96+G101+G105+G109+G113+G115+G120+G122+G124+G126+G128+G130+G132+G134+G137+G139+G141+G143+G145+G147+G150+G152+G154+G156+G159+G161+G163+G165+G167+G169+G171+G173+G175+G177+G179+G182+G186+G191</f>
        <v>178156266</v>
      </c>
      <c r="H10" s="209">
        <f>143685704+H32+H62+H80+H82+H91+H105+H107</f>
        <v>144219424</v>
      </c>
      <c r="I10" s="210"/>
      <c r="J10" s="195">
        <v>662726581</v>
      </c>
      <c r="K10" s="211"/>
    </row>
    <row r="11" spans="1:11" ht="15" customHeight="1">
      <c r="A11" s="212"/>
      <c r="B11" s="212"/>
      <c r="C11" s="213" t="s">
        <v>224</v>
      </c>
      <c r="D11" s="297"/>
      <c r="E11" s="298"/>
      <c r="F11" s="298"/>
      <c r="G11" s="298"/>
      <c r="H11" s="298"/>
      <c r="I11" s="195"/>
      <c r="J11" s="471">
        <f>J10-D10</f>
        <v>-4491863</v>
      </c>
      <c r="K11" s="2"/>
    </row>
    <row r="12" spans="1:10" s="190" customFormat="1" ht="19.5" customHeight="1">
      <c r="A12" s="214"/>
      <c r="B12" s="214"/>
      <c r="C12" s="215" t="s">
        <v>250</v>
      </c>
      <c r="D12" s="299">
        <f aca="true" t="shared" si="0" ref="D12:D96">SUM(E12:H12)</f>
        <v>256966863</v>
      </c>
      <c r="E12" s="300">
        <f>48898884+E22</f>
        <v>48892884</v>
      </c>
      <c r="F12" s="300">
        <f>73734667+F37+F39+F41+F43+F45+F47+F49+F52+F55+F58+F60+F64+F66+F71+F75+F91</f>
        <v>73048060</v>
      </c>
      <c r="G12" s="300">
        <f>70640826+G17+G23+G28+G32+G37+G39+G41+G43+G45+G47+G49+G52+G55+G58+G60+G62+G64+G66+G75+G80+G86+G91</f>
        <v>70725063</v>
      </c>
      <c r="H12" s="300">
        <f>64009136+H32+H62+H80+H82+H91</f>
        <v>64300856</v>
      </c>
      <c r="I12" s="216"/>
      <c r="J12" s="216"/>
    </row>
    <row r="13" spans="1:10" s="190" customFormat="1" ht="19.5" customHeight="1">
      <c r="A13" s="326"/>
      <c r="B13" s="326"/>
      <c r="C13" s="106" t="s">
        <v>241</v>
      </c>
      <c r="D13" s="330">
        <f t="shared" si="0"/>
        <v>15950639</v>
      </c>
      <c r="E13" s="330">
        <f>256750</f>
        <v>256750</v>
      </c>
      <c r="F13" s="330">
        <f>4071750</f>
        <v>4071750</v>
      </c>
      <c r="G13" s="330">
        <f>6529750+G17</f>
        <v>6389750</v>
      </c>
      <c r="H13" s="330">
        <f>5232389</f>
        <v>5232389</v>
      </c>
      <c r="I13" s="216"/>
      <c r="J13" s="216"/>
    </row>
    <row r="14" spans="1:10" s="190" customFormat="1" ht="19.5" customHeight="1" thickBot="1">
      <c r="A14" s="327"/>
      <c r="B14" s="327"/>
      <c r="C14" s="328" t="s">
        <v>334</v>
      </c>
      <c r="D14" s="71">
        <f t="shared" si="0"/>
        <v>15870639</v>
      </c>
      <c r="E14" s="71">
        <v>176750</v>
      </c>
      <c r="F14" s="71">
        <v>4071750</v>
      </c>
      <c r="G14" s="71">
        <f>6529750+G17</f>
        <v>6389750</v>
      </c>
      <c r="H14" s="71">
        <f>5232389</f>
        <v>5232389</v>
      </c>
      <c r="I14" s="216"/>
      <c r="J14" s="216"/>
    </row>
    <row r="15" spans="1:10" s="190" customFormat="1" ht="19.5" customHeight="1" thickTop="1">
      <c r="A15" s="8">
        <v>758</v>
      </c>
      <c r="B15" s="8"/>
      <c r="C15" s="8" t="s">
        <v>289</v>
      </c>
      <c r="D15" s="105">
        <f t="shared" si="0"/>
        <v>3342639</v>
      </c>
      <c r="E15" s="105"/>
      <c r="F15" s="105"/>
      <c r="G15" s="105">
        <f>540000+G17</f>
        <v>400000</v>
      </c>
      <c r="H15" s="105">
        <v>2942639</v>
      </c>
      <c r="I15" s="216"/>
      <c r="J15" s="216"/>
    </row>
    <row r="16" spans="1:10" s="190" customFormat="1" ht="19.5" customHeight="1">
      <c r="A16" s="329"/>
      <c r="B16" s="329">
        <v>75818</v>
      </c>
      <c r="C16" s="329" t="s">
        <v>290</v>
      </c>
      <c r="D16" s="331">
        <f t="shared" si="0"/>
        <v>3482639</v>
      </c>
      <c r="E16" s="331"/>
      <c r="F16" s="331"/>
      <c r="G16" s="331">
        <v>540000</v>
      </c>
      <c r="H16" s="331">
        <v>2942639</v>
      </c>
      <c r="I16" s="216"/>
      <c r="J16" s="216"/>
    </row>
    <row r="17" spans="1:10" s="111" customFormat="1" ht="19.5" customHeight="1">
      <c r="A17" s="422"/>
      <c r="B17" s="676"/>
      <c r="C17" s="472"/>
      <c r="D17" s="473">
        <f t="shared" si="0"/>
        <v>-140000</v>
      </c>
      <c r="E17" s="473"/>
      <c r="F17" s="474"/>
      <c r="G17" s="473">
        <v>-140000</v>
      </c>
      <c r="H17" s="473"/>
      <c r="I17" s="319"/>
      <c r="J17" s="347"/>
    </row>
    <row r="18" spans="1:10" s="111" customFormat="1" ht="19.5" customHeight="1">
      <c r="A18" s="16"/>
      <c r="B18" s="16"/>
      <c r="C18" s="296" t="s">
        <v>419</v>
      </c>
      <c r="D18" s="313">
        <f aca="true" t="shared" si="1" ref="D18:D23">SUM(E18:H18)</f>
        <v>13551703</v>
      </c>
      <c r="E18" s="313">
        <f>396400+E22</f>
        <v>390400</v>
      </c>
      <c r="F18" s="313">
        <f>3302553</f>
        <v>3302553</v>
      </c>
      <c r="G18" s="313">
        <f>3040350+G23</f>
        <v>3046350</v>
      </c>
      <c r="H18" s="313">
        <f>6812400</f>
        <v>6812400</v>
      </c>
      <c r="I18" s="319"/>
      <c r="J18" s="319"/>
    </row>
    <row r="19" spans="1:10" s="111" customFormat="1" ht="19.5" customHeight="1" thickBot="1">
      <c r="A19" s="29"/>
      <c r="B19" s="29"/>
      <c r="C19" s="6" t="s">
        <v>260</v>
      </c>
      <c r="D19" s="7">
        <f t="shared" si="1"/>
        <v>13151703</v>
      </c>
      <c r="E19" s="7">
        <f>305550+E22</f>
        <v>299550</v>
      </c>
      <c r="F19" s="7">
        <f>3211703</f>
        <v>3211703</v>
      </c>
      <c r="G19" s="494">
        <f>2922900+G23</f>
        <v>2928900</v>
      </c>
      <c r="H19" s="7">
        <f>6711550</f>
        <v>6711550</v>
      </c>
      <c r="I19" s="319"/>
      <c r="J19" s="319"/>
    </row>
    <row r="20" spans="1:10" s="111" customFormat="1" ht="19.5" customHeight="1" thickTop="1">
      <c r="A20" s="95">
        <v>710</v>
      </c>
      <c r="B20" s="95"/>
      <c r="C20" s="56" t="s">
        <v>415</v>
      </c>
      <c r="D20" s="340">
        <f t="shared" si="1"/>
        <v>800000</v>
      </c>
      <c r="E20" s="340">
        <f>100000+E22</f>
        <v>94000</v>
      </c>
      <c r="F20" s="340">
        <f>150000</f>
        <v>150000</v>
      </c>
      <c r="G20" s="9">
        <f>150000+G23</f>
        <v>156000</v>
      </c>
      <c r="H20" s="340">
        <f>400000</f>
        <v>400000</v>
      </c>
      <c r="I20" s="319"/>
      <c r="J20" s="319"/>
    </row>
    <row r="21" spans="1:10" s="111" customFormat="1" ht="19.5" customHeight="1">
      <c r="A21" s="239"/>
      <c r="B21" s="87">
        <v>71014</v>
      </c>
      <c r="C21" s="434" t="s">
        <v>416</v>
      </c>
      <c r="D21" s="325">
        <f t="shared" si="1"/>
        <v>800000</v>
      </c>
      <c r="E21" s="325">
        <v>100000</v>
      </c>
      <c r="F21" s="325">
        <v>150000</v>
      </c>
      <c r="G21" s="325">
        <v>150000</v>
      </c>
      <c r="H21" s="325">
        <v>400000</v>
      </c>
      <c r="I21" s="319"/>
      <c r="J21" s="319"/>
    </row>
    <row r="22" spans="1:10" s="111" customFormat="1" ht="19.5" customHeight="1">
      <c r="A22" s="239"/>
      <c r="B22" s="262"/>
      <c r="C22" s="346"/>
      <c r="D22" s="278">
        <f t="shared" si="1"/>
        <v>-6000</v>
      </c>
      <c r="E22" s="278">
        <v>-6000</v>
      </c>
      <c r="F22" s="15"/>
      <c r="G22" s="278"/>
      <c r="H22" s="278"/>
      <c r="I22" s="319"/>
      <c r="J22" s="319"/>
    </row>
    <row r="23" spans="1:10" s="111" customFormat="1" ht="19.5" customHeight="1">
      <c r="A23" s="239"/>
      <c r="B23" s="539">
        <v>71095</v>
      </c>
      <c r="C23" s="538" t="s">
        <v>235</v>
      </c>
      <c r="D23" s="537">
        <f t="shared" si="1"/>
        <v>6000</v>
      </c>
      <c r="E23" s="537"/>
      <c r="F23" s="537"/>
      <c r="G23" s="537">
        <v>6000</v>
      </c>
      <c r="H23" s="537"/>
      <c r="I23" s="319"/>
      <c r="J23" s="319"/>
    </row>
    <row r="24" spans="1:10" s="111" customFormat="1" ht="19.5" customHeight="1">
      <c r="A24" s="16"/>
      <c r="B24" s="16"/>
      <c r="C24" s="296" t="s">
        <v>254</v>
      </c>
      <c r="D24" s="313">
        <f t="shared" si="0"/>
        <v>46362625</v>
      </c>
      <c r="E24" s="313">
        <f>12794500</f>
        <v>12794500</v>
      </c>
      <c r="F24" s="313">
        <f>12921087</f>
        <v>12921087</v>
      </c>
      <c r="G24" s="313">
        <f>10627777+G32+G28</f>
        <v>10534538</v>
      </c>
      <c r="H24" s="313">
        <f>10612500+H32</f>
        <v>10112500</v>
      </c>
      <c r="I24" s="319"/>
      <c r="J24" s="319"/>
    </row>
    <row r="25" spans="1:10" s="111" customFormat="1" ht="19.5" customHeight="1" thickBot="1">
      <c r="A25" s="29"/>
      <c r="B25" s="29"/>
      <c r="C25" s="6" t="s">
        <v>334</v>
      </c>
      <c r="D25" s="7">
        <f>SUM(E25:H25)</f>
        <v>43479038</v>
      </c>
      <c r="E25" s="7">
        <f>11669500</f>
        <v>11669500</v>
      </c>
      <c r="F25" s="7">
        <f>11162500</f>
        <v>11162500</v>
      </c>
      <c r="G25" s="7">
        <f>10627777+G32+G28</f>
        <v>10534538</v>
      </c>
      <c r="H25" s="7">
        <f>10612500+H32</f>
        <v>10112500</v>
      </c>
      <c r="I25" s="319"/>
      <c r="J25" s="319"/>
    </row>
    <row r="26" spans="1:12" s="111" customFormat="1" ht="19.5" customHeight="1" thickTop="1">
      <c r="A26" s="378">
        <v>801</v>
      </c>
      <c r="B26" s="95"/>
      <c r="C26" s="95" t="s">
        <v>262</v>
      </c>
      <c r="D26" s="340">
        <f>SUM(E26:H26)</f>
        <v>377038</v>
      </c>
      <c r="E26" s="340"/>
      <c r="F26" s="340"/>
      <c r="G26" s="340">
        <f>440277+G28</f>
        <v>377038</v>
      </c>
      <c r="H26" s="340"/>
      <c r="I26" s="347"/>
      <c r="J26" s="347"/>
      <c r="K26" s="347"/>
      <c r="L26" s="347"/>
    </row>
    <row r="27" spans="1:10" s="111" customFormat="1" ht="19.5" customHeight="1">
      <c r="A27" s="13"/>
      <c r="B27" s="85">
        <v>80110</v>
      </c>
      <c r="C27" s="85" t="s">
        <v>110</v>
      </c>
      <c r="D27" s="325">
        <f t="shared" si="0"/>
        <v>440277</v>
      </c>
      <c r="E27" s="302"/>
      <c r="F27" s="302"/>
      <c r="G27" s="302">
        <v>440277</v>
      </c>
      <c r="H27" s="302"/>
      <c r="I27" s="319"/>
      <c r="J27" s="319"/>
    </row>
    <row r="28" spans="1:10" s="111" customFormat="1" ht="19.5" customHeight="1">
      <c r="A28" s="13"/>
      <c r="B28" s="13"/>
      <c r="C28" s="13"/>
      <c r="D28" s="388">
        <f t="shared" si="0"/>
        <v>-63239</v>
      </c>
      <c r="E28" s="321"/>
      <c r="F28" s="321"/>
      <c r="G28" s="321">
        <v>-63239</v>
      </c>
      <c r="H28" s="321"/>
      <c r="I28" s="319"/>
      <c r="J28" s="319"/>
    </row>
    <row r="29" spans="1:10" s="111" customFormat="1" ht="19.5" customHeight="1">
      <c r="A29" s="558"/>
      <c r="B29" s="558"/>
      <c r="C29" s="558"/>
      <c r="D29" s="555"/>
      <c r="E29" s="708"/>
      <c r="F29" s="708"/>
      <c r="G29" s="708"/>
      <c r="H29" s="708"/>
      <c r="I29" s="319"/>
      <c r="J29" s="319"/>
    </row>
    <row r="30" spans="1:12" s="111" customFormat="1" ht="19.5" customHeight="1">
      <c r="A30" s="710">
        <v>851</v>
      </c>
      <c r="B30" s="8"/>
      <c r="C30" s="8" t="s">
        <v>337</v>
      </c>
      <c r="D30" s="9">
        <f>SUM(E30:H30)</f>
        <v>10000</v>
      </c>
      <c r="E30" s="9">
        <f>2500</f>
        <v>2500</v>
      </c>
      <c r="F30" s="9">
        <f>2500</f>
        <v>2500</v>
      </c>
      <c r="G30" s="9">
        <f>32500+G32</f>
        <v>2500</v>
      </c>
      <c r="H30" s="9">
        <f>502500+H32</f>
        <v>2500</v>
      </c>
      <c r="I30" s="347"/>
      <c r="J30" s="347"/>
      <c r="K30" s="347"/>
      <c r="L30" s="347"/>
    </row>
    <row r="31" spans="1:10" s="111" customFormat="1" ht="19.5" customHeight="1">
      <c r="A31" s="13"/>
      <c r="B31" s="85">
        <v>85154</v>
      </c>
      <c r="C31" s="85" t="s">
        <v>359</v>
      </c>
      <c r="D31" s="325">
        <f t="shared" si="0"/>
        <v>540000</v>
      </c>
      <c r="E31" s="302">
        <v>2500</v>
      </c>
      <c r="F31" s="302">
        <v>2500</v>
      </c>
      <c r="G31" s="302">
        <v>32500</v>
      </c>
      <c r="H31" s="302">
        <v>502500</v>
      </c>
      <c r="I31" s="319"/>
      <c r="J31" s="319"/>
    </row>
    <row r="32" spans="1:10" s="111" customFormat="1" ht="19.5" customHeight="1">
      <c r="A32" s="13"/>
      <c r="B32" s="29"/>
      <c r="C32" s="29"/>
      <c r="D32" s="278">
        <f t="shared" si="0"/>
        <v>-530000</v>
      </c>
      <c r="E32" s="15"/>
      <c r="F32" s="15"/>
      <c r="G32" s="15">
        <v>-30000</v>
      </c>
      <c r="H32" s="15">
        <v>-500000</v>
      </c>
      <c r="I32" s="319"/>
      <c r="J32" s="319"/>
    </row>
    <row r="33" spans="1:15" s="111" customFormat="1" ht="19.5" customHeight="1">
      <c r="A33" s="13"/>
      <c r="B33" s="13"/>
      <c r="C33" s="106" t="s">
        <v>255</v>
      </c>
      <c r="D33" s="245">
        <f t="shared" si="0"/>
        <v>21198236</v>
      </c>
      <c r="E33" s="245">
        <f>3636909</f>
        <v>3636909</v>
      </c>
      <c r="F33" s="245">
        <f>4542149+F37+F39+F41+F43+F45+F47+F49+F52+F55+F58+F60+F64+F66</f>
        <v>3967608</v>
      </c>
      <c r="G33" s="245">
        <f>7762647+G37+G39+G41+G43+G45+G47+G49+G52+G55+G58+G60+G62+G64+G66</f>
        <v>8083777</v>
      </c>
      <c r="H33" s="245">
        <f>5512942+H62</f>
        <v>5509942</v>
      </c>
      <c r="I33" s="347"/>
      <c r="J33" s="347"/>
      <c r="K33" s="347"/>
      <c r="L33" s="347"/>
      <c r="O33" s="387"/>
    </row>
    <row r="34" spans="1:12" s="111" customFormat="1" ht="19.5" customHeight="1" thickBot="1">
      <c r="A34" s="29"/>
      <c r="B34" s="29"/>
      <c r="C34" s="6" t="s">
        <v>334</v>
      </c>
      <c r="D34" s="7">
        <f t="shared" si="0"/>
        <v>21198236</v>
      </c>
      <c r="E34" s="7">
        <f>3636909</f>
        <v>3636909</v>
      </c>
      <c r="F34" s="7">
        <f>4542149+F37+F39+F41+F43+F45+F47+F49+F52+F55+F58+F60+F64+F66</f>
        <v>3967608</v>
      </c>
      <c r="G34" s="7">
        <f>7762647+G37+G39+G41+G43+G45+G47+G49+G52+G55+G58+G60+G62+G64+G66</f>
        <v>8083777</v>
      </c>
      <c r="H34" s="7">
        <f>5512942+H62</f>
        <v>5509942</v>
      </c>
      <c r="I34" s="347"/>
      <c r="J34" s="347"/>
      <c r="K34" s="347"/>
      <c r="L34" s="347"/>
    </row>
    <row r="35" spans="1:12" s="111" customFormat="1" ht="19.5" customHeight="1" thickTop="1">
      <c r="A35" s="378">
        <v>801</v>
      </c>
      <c r="B35" s="95"/>
      <c r="C35" s="95" t="s">
        <v>262</v>
      </c>
      <c r="D35" s="340">
        <f t="shared" si="0"/>
        <v>15788869</v>
      </c>
      <c r="E35" s="340">
        <f>2518074</f>
        <v>2518074</v>
      </c>
      <c r="F35" s="340">
        <f>3264304+F37+F39+F41+F43+F45+F47+F49</f>
        <v>2794064</v>
      </c>
      <c r="G35" s="340">
        <f>6025501+G37+G39+G41+G43+G45+G47+G49</f>
        <v>6289830</v>
      </c>
      <c r="H35" s="340">
        <f>4186901</f>
        <v>4186901</v>
      </c>
      <c r="I35" s="347"/>
      <c r="J35" s="347"/>
      <c r="K35" s="347"/>
      <c r="L35" s="347"/>
    </row>
    <row r="36" spans="1:10" s="111" customFormat="1" ht="19.5" customHeight="1">
      <c r="A36" s="13"/>
      <c r="B36" s="85">
        <v>80101</v>
      </c>
      <c r="C36" s="85" t="s">
        <v>450</v>
      </c>
      <c r="D36" s="302">
        <f t="shared" si="0"/>
        <v>1788724</v>
      </c>
      <c r="E36" s="302">
        <v>213089</v>
      </c>
      <c r="F36" s="302">
        <v>400000</v>
      </c>
      <c r="G36" s="302">
        <v>739364</v>
      </c>
      <c r="H36" s="302">
        <v>436271</v>
      </c>
      <c r="I36" s="319"/>
      <c r="J36" s="319"/>
    </row>
    <row r="37" spans="1:10" s="111" customFormat="1" ht="19.5" customHeight="1">
      <c r="A37" s="13"/>
      <c r="B37" s="29"/>
      <c r="C37" s="29"/>
      <c r="D37" s="15">
        <f t="shared" si="0"/>
        <v>-102800</v>
      </c>
      <c r="E37" s="15"/>
      <c r="F37" s="15">
        <v>-168179</v>
      </c>
      <c r="G37" s="15">
        <v>65379</v>
      </c>
      <c r="H37" s="15"/>
      <c r="I37" s="319"/>
      <c r="J37" s="319"/>
    </row>
    <row r="38" spans="1:10" s="111" customFormat="1" ht="19.5" customHeight="1">
      <c r="A38" s="13"/>
      <c r="B38" s="85">
        <v>80120</v>
      </c>
      <c r="C38" s="85" t="s">
        <v>453</v>
      </c>
      <c r="D38" s="302">
        <f t="shared" si="0"/>
        <v>5610080</v>
      </c>
      <c r="E38" s="302">
        <v>937026</v>
      </c>
      <c r="F38" s="302">
        <v>1152974</v>
      </c>
      <c r="G38" s="302">
        <v>1610180</v>
      </c>
      <c r="H38" s="302">
        <v>1909900</v>
      </c>
      <c r="I38" s="319"/>
      <c r="J38" s="319"/>
    </row>
    <row r="39" spans="1:10" s="111" customFormat="1" ht="19.5" customHeight="1">
      <c r="A39" s="13"/>
      <c r="B39" s="29"/>
      <c r="C39" s="29"/>
      <c r="D39" s="15">
        <f t="shared" si="0"/>
        <v>-8000</v>
      </c>
      <c r="E39" s="15"/>
      <c r="F39" s="15">
        <v>-130805</v>
      </c>
      <c r="G39" s="15">
        <v>122805</v>
      </c>
      <c r="H39" s="15"/>
      <c r="I39" s="319"/>
      <c r="J39" s="319"/>
    </row>
    <row r="40" spans="1:10" s="111" customFormat="1" ht="19.5" customHeight="1">
      <c r="A40" s="13"/>
      <c r="B40" s="85">
        <v>80123</v>
      </c>
      <c r="C40" s="85" t="s">
        <v>456</v>
      </c>
      <c r="D40" s="302">
        <f t="shared" si="0"/>
        <v>470770</v>
      </c>
      <c r="E40" s="302">
        <v>85051</v>
      </c>
      <c r="F40" s="302">
        <v>140949</v>
      </c>
      <c r="G40" s="302">
        <v>138100</v>
      </c>
      <c r="H40" s="302">
        <v>106670</v>
      </c>
      <c r="I40" s="319"/>
      <c r="J40" s="319"/>
    </row>
    <row r="41" spans="1:10" s="111" customFormat="1" ht="19.5" customHeight="1">
      <c r="A41" s="13"/>
      <c r="B41" s="29"/>
      <c r="C41" s="29"/>
      <c r="D41" s="15">
        <f t="shared" si="0"/>
        <v>-1000</v>
      </c>
      <c r="E41" s="15"/>
      <c r="F41" s="15">
        <v>-61011</v>
      </c>
      <c r="G41" s="15">
        <v>60011</v>
      </c>
      <c r="H41" s="15"/>
      <c r="I41" s="319"/>
      <c r="J41" s="319"/>
    </row>
    <row r="42" spans="1:10" s="111" customFormat="1" ht="19.5" customHeight="1">
      <c r="A42" s="13"/>
      <c r="B42" s="85">
        <v>80130</v>
      </c>
      <c r="C42" s="85" t="s">
        <v>445</v>
      </c>
      <c r="D42" s="302">
        <f t="shared" si="0"/>
        <v>3902811</v>
      </c>
      <c r="E42" s="302">
        <v>779605</v>
      </c>
      <c r="F42" s="302">
        <v>915789</v>
      </c>
      <c r="G42" s="302">
        <v>1382417</v>
      </c>
      <c r="H42" s="302">
        <v>825000</v>
      </c>
      <c r="I42" s="319"/>
      <c r="J42" s="319"/>
    </row>
    <row r="43" spans="1:10" s="111" customFormat="1" ht="19.5" customHeight="1">
      <c r="A43" s="13"/>
      <c r="B43" s="29"/>
      <c r="C43" s="29"/>
      <c r="D43" s="15">
        <f t="shared" si="0"/>
        <v>-94036</v>
      </c>
      <c r="E43" s="15"/>
      <c r="F43" s="15">
        <v>-20849</v>
      </c>
      <c r="G43" s="15">
        <v>-73187</v>
      </c>
      <c r="H43" s="15"/>
      <c r="I43" s="319"/>
      <c r="J43" s="319"/>
    </row>
    <row r="44" spans="1:10" s="111" customFormat="1" ht="19.5" customHeight="1">
      <c r="A44" s="13"/>
      <c r="B44" s="85">
        <v>80145</v>
      </c>
      <c r="C44" s="85" t="s">
        <v>206</v>
      </c>
      <c r="D44" s="302">
        <f t="shared" si="0"/>
        <v>60468</v>
      </c>
      <c r="E44" s="302"/>
      <c r="F44" s="302">
        <v>20000</v>
      </c>
      <c r="G44" s="302">
        <v>40468</v>
      </c>
      <c r="H44" s="302"/>
      <c r="I44" s="319"/>
      <c r="J44" s="319"/>
    </row>
    <row r="45" spans="1:10" s="111" customFormat="1" ht="19.5" customHeight="1">
      <c r="A45" s="13"/>
      <c r="B45" s="29"/>
      <c r="C45" s="29"/>
      <c r="D45" s="15">
        <f t="shared" si="0"/>
        <v>-955</v>
      </c>
      <c r="E45" s="15"/>
      <c r="F45" s="15">
        <v>-20000</v>
      </c>
      <c r="G45" s="15">
        <f>-955+20000</f>
        <v>19045</v>
      </c>
      <c r="H45" s="15"/>
      <c r="I45" s="319"/>
      <c r="J45" s="319"/>
    </row>
    <row r="46" spans="1:10" s="111" customFormat="1" ht="19.5" customHeight="1">
      <c r="A46" s="13"/>
      <c r="B46" s="85">
        <v>80195</v>
      </c>
      <c r="C46" s="85" t="s">
        <v>235</v>
      </c>
      <c r="D46" s="302">
        <f t="shared" si="0"/>
        <v>320418</v>
      </c>
      <c r="E46" s="302">
        <v>595</v>
      </c>
      <c r="F46" s="302">
        <v>63000</v>
      </c>
      <c r="G46" s="302">
        <v>252323</v>
      </c>
      <c r="H46" s="302">
        <v>4500</v>
      </c>
      <c r="I46" s="319"/>
      <c r="J46" s="319"/>
    </row>
    <row r="47" spans="1:10" s="111" customFormat="1" ht="19.5" customHeight="1">
      <c r="A47" s="13"/>
      <c r="B47" s="29"/>
      <c r="C47" s="29"/>
      <c r="D47" s="15">
        <f t="shared" si="0"/>
        <v>880</v>
      </c>
      <c r="E47" s="15"/>
      <c r="F47" s="15">
        <v>-53296</v>
      </c>
      <c r="G47" s="15">
        <v>54176</v>
      </c>
      <c r="H47" s="15"/>
      <c r="I47" s="319"/>
      <c r="J47" s="319"/>
    </row>
    <row r="48" spans="1:10" s="111" customFormat="1" ht="19.5" customHeight="1">
      <c r="A48" s="13"/>
      <c r="B48" s="85">
        <v>80197</v>
      </c>
      <c r="C48" s="85" t="s">
        <v>106</v>
      </c>
      <c r="D48" s="302">
        <f t="shared" si="0"/>
        <v>137000</v>
      </c>
      <c r="E48" s="302">
        <v>34800</v>
      </c>
      <c r="F48" s="302">
        <v>50000</v>
      </c>
      <c r="G48" s="302">
        <v>52200</v>
      </c>
      <c r="H48" s="302"/>
      <c r="I48" s="319"/>
      <c r="J48" s="319"/>
    </row>
    <row r="49" spans="1:10" s="111" customFormat="1" ht="19.5" customHeight="1">
      <c r="A49" s="13"/>
      <c r="B49" s="29"/>
      <c r="C49" s="29"/>
      <c r="D49" s="15">
        <f t="shared" si="0"/>
        <v>0</v>
      </c>
      <c r="E49" s="15"/>
      <c r="F49" s="15">
        <v>-16100</v>
      </c>
      <c r="G49" s="15">
        <v>16100</v>
      </c>
      <c r="H49" s="15"/>
      <c r="I49" s="319"/>
      <c r="J49" s="319"/>
    </row>
    <row r="50" spans="1:12" s="111" customFormat="1" ht="19.5" customHeight="1">
      <c r="A50" s="378">
        <v>851</v>
      </c>
      <c r="B50" s="95"/>
      <c r="C50" s="95" t="s">
        <v>337</v>
      </c>
      <c r="D50" s="340">
        <f t="shared" si="0"/>
        <v>15000</v>
      </c>
      <c r="E50" s="340"/>
      <c r="F50" s="340">
        <f>15000+F52</f>
        <v>11803</v>
      </c>
      <c r="G50" s="340">
        <f>G52</f>
        <v>3197</v>
      </c>
      <c r="H50" s="340"/>
      <c r="I50" s="347"/>
      <c r="J50" s="347"/>
      <c r="K50" s="347"/>
      <c r="L50" s="347"/>
    </row>
    <row r="51" spans="1:10" s="111" customFormat="1" ht="19.5" customHeight="1">
      <c r="A51" s="13"/>
      <c r="B51" s="85">
        <v>85154</v>
      </c>
      <c r="C51" s="85" t="s">
        <v>359</v>
      </c>
      <c r="D51" s="302">
        <f t="shared" si="0"/>
        <v>15000</v>
      </c>
      <c r="E51" s="302"/>
      <c r="F51" s="302">
        <v>15000</v>
      </c>
      <c r="G51" s="302"/>
      <c r="H51" s="302"/>
      <c r="I51" s="319"/>
      <c r="J51" s="319"/>
    </row>
    <row r="52" spans="1:10" s="111" customFormat="1" ht="19.5" customHeight="1">
      <c r="A52" s="13"/>
      <c r="B52" s="29"/>
      <c r="C52" s="29"/>
      <c r="D52" s="15">
        <f t="shared" si="0"/>
        <v>0</v>
      </c>
      <c r="E52" s="15"/>
      <c r="F52" s="15">
        <v>-3197</v>
      </c>
      <c r="G52" s="15">
        <v>3197</v>
      </c>
      <c r="H52" s="15"/>
      <c r="I52" s="319"/>
      <c r="J52" s="319"/>
    </row>
    <row r="53" spans="1:12" s="111" customFormat="1" ht="19.5" customHeight="1">
      <c r="A53" s="378">
        <v>854</v>
      </c>
      <c r="B53" s="95"/>
      <c r="C53" s="95" t="s">
        <v>280</v>
      </c>
      <c r="D53" s="340">
        <f t="shared" si="0"/>
        <v>5394367</v>
      </c>
      <c r="E53" s="340">
        <f>1118835</f>
        <v>1118835</v>
      </c>
      <c r="F53" s="340">
        <f>1262845+F55+F58+F60+F64+F66</f>
        <v>1161741</v>
      </c>
      <c r="G53" s="340">
        <f>1737146+G55+G58+G60+G62+G64+G66</f>
        <v>1790750</v>
      </c>
      <c r="H53" s="340">
        <f>1326041+H62</f>
        <v>1323041</v>
      </c>
      <c r="I53" s="347"/>
      <c r="J53" s="347"/>
      <c r="K53" s="347"/>
      <c r="L53" s="347"/>
    </row>
    <row r="54" spans="1:10" s="111" customFormat="1" ht="19.5" customHeight="1">
      <c r="A54" s="13"/>
      <c r="B54" s="85">
        <v>85403</v>
      </c>
      <c r="C54" s="85" t="s">
        <v>107</v>
      </c>
      <c r="D54" s="302">
        <f t="shared" si="0"/>
        <v>734047</v>
      </c>
      <c r="E54" s="302">
        <v>141600</v>
      </c>
      <c r="F54" s="302">
        <v>183400</v>
      </c>
      <c r="G54" s="302">
        <v>217500</v>
      </c>
      <c r="H54" s="302">
        <v>191547</v>
      </c>
      <c r="I54" s="319"/>
      <c r="J54" s="319"/>
    </row>
    <row r="55" spans="1:10" s="111" customFormat="1" ht="19.5" customHeight="1">
      <c r="A55" s="13"/>
      <c r="B55" s="13"/>
      <c r="C55" s="13"/>
      <c r="D55" s="321">
        <f t="shared" si="0"/>
        <v>0</v>
      </c>
      <c r="E55" s="321"/>
      <c r="F55" s="321">
        <v>-37480</v>
      </c>
      <c r="G55" s="321">
        <v>37480</v>
      </c>
      <c r="H55" s="321"/>
      <c r="I55" s="319"/>
      <c r="J55" s="319"/>
    </row>
    <row r="56" spans="1:10" s="111" customFormat="1" ht="19.5" customHeight="1">
      <c r="A56" s="558"/>
      <c r="B56" s="558"/>
      <c r="C56" s="558"/>
      <c r="D56" s="708"/>
      <c r="E56" s="708"/>
      <c r="F56" s="708"/>
      <c r="G56" s="708"/>
      <c r="H56" s="708"/>
      <c r="I56" s="319"/>
      <c r="J56" s="319"/>
    </row>
    <row r="57" spans="1:10" s="111" customFormat="1" ht="19.5" customHeight="1">
      <c r="A57" s="13"/>
      <c r="B57" s="13">
        <v>85404</v>
      </c>
      <c r="C57" s="13" t="s">
        <v>429</v>
      </c>
      <c r="D57" s="14">
        <f t="shared" si="0"/>
        <v>3267351</v>
      </c>
      <c r="E57" s="14">
        <v>829500</v>
      </c>
      <c r="F57" s="14">
        <v>790640</v>
      </c>
      <c r="G57" s="14">
        <v>947211</v>
      </c>
      <c r="H57" s="14">
        <v>700000</v>
      </c>
      <c r="I57" s="319"/>
      <c r="J57" s="319"/>
    </row>
    <row r="58" spans="1:10" s="111" customFormat="1" ht="19.5" customHeight="1">
      <c r="A58" s="13"/>
      <c r="B58" s="29"/>
      <c r="C58" s="29"/>
      <c r="D58" s="15">
        <f t="shared" si="0"/>
        <v>-10000</v>
      </c>
      <c r="E58" s="15"/>
      <c r="F58" s="15">
        <v>-13050</v>
      </c>
      <c r="G58" s="15">
        <v>3050</v>
      </c>
      <c r="H58" s="15"/>
      <c r="I58" s="319"/>
      <c r="J58" s="319"/>
    </row>
    <row r="59" spans="1:10" s="111" customFormat="1" ht="19.5" customHeight="1">
      <c r="A59" s="13"/>
      <c r="B59" s="85">
        <v>85410</v>
      </c>
      <c r="C59" s="85" t="s">
        <v>458</v>
      </c>
      <c r="D59" s="302">
        <f t="shared" si="0"/>
        <v>668740</v>
      </c>
      <c r="E59" s="302">
        <v>139485</v>
      </c>
      <c r="F59" s="302">
        <v>140000</v>
      </c>
      <c r="G59" s="302">
        <v>257465</v>
      </c>
      <c r="H59" s="302">
        <v>131790</v>
      </c>
      <c r="I59" s="319"/>
      <c r="J59" s="319"/>
    </row>
    <row r="60" spans="1:10" s="111" customFormat="1" ht="19.5" customHeight="1">
      <c r="A60" s="13"/>
      <c r="B60" s="29"/>
      <c r="C60" s="29"/>
      <c r="D60" s="15">
        <f t="shared" si="0"/>
        <v>-30000</v>
      </c>
      <c r="E60" s="15"/>
      <c r="F60" s="15">
        <v>-11459</v>
      </c>
      <c r="G60" s="15">
        <v>-18541</v>
      </c>
      <c r="H60" s="15"/>
      <c r="I60" s="319"/>
      <c r="J60" s="319"/>
    </row>
    <row r="61" spans="1:10" s="111" customFormat="1" ht="19.5" customHeight="1">
      <c r="A61" s="13"/>
      <c r="B61" s="85">
        <v>85417</v>
      </c>
      <c r="C61" s="85" t="s">
        <v>459</v>
      </c>
      <c r="D61" s="302">
        <f t="shared" si="0"/>
        <v>10000</v>
      </c>
      <c r="E61" s="302"/>
      <c r="F61" s="302"/>
      <c r="G61" s="302">
        <v>5000</v>
      </c>
      <c r="H61" s="302">
        <v>5000</v>
      </c>
      <c r="I61" s="319"/>
      <c r="J61" s="319"/>
    </row>
    <row r="62" spans="1:10" s="111" customFormat="1" ht="19.5" customHeight="1">
      <c r="A62" s="13"/>
      <c r="B62" s="29"/>
      <c r="C62" s="29"/>
      <c r="D62" s="15">
        <f t="shared" si="0"/>
        <v>-8000</v>
      </c>
      <c r="E62" s="15"/>
      <c r="F62" s="15"/>
      <c r="G62" s="15">
        <v>-5000</v>
      </c>
      <c r="H62" s="15">
        <v>-3000</v>
      </c>
      <c r="I62" s="319"/>
      <c r="J62" s="319"/>
    </row>
    <row r="63" spans="1:10" s="111" customFormat="1" ht="19.5" customHeight="1">
      <c r="A63" s="13"/>
      <c r="B63" s="85">
        <v>85495</v>
      </c>
      <c r="C63" s="85" t="s">
        <v>235</v>
      </c>
      <c r="D63" s="302">
        <f t="shared" si="0"/>
        <v>117319</v>
      </c>
      <c r="E63" s="302"/>
      <c r="F63" s="302">
        <v>22615</v>
      </c>
      <c r="G63" s="302">
        <v>7000</v>
      </c>
      <c r="H63" s="302">
        <v>87704</v>
      </c>
      <c r="I63" s="319"/>
      <c r="J63" s="319"/>
    </row>
    <row r="64" spans="1:10" s="111" customFormat="1" ht="19.5" customHeight="1">
      <c r="A64" s="13"/>
      <c r="B64" s="29"/>
      <c r="C64" s="29"/>
      <c r="D64" s="15">
        <f t="shared" si="0"/>
        <v>-2500</v>
      </c>
      <c r="E64" s="15"/>
      <c r="F64" s="15">
        <v>-22615</v>
      </c>
      <c r="G64" s="15">
        <v>20115</v>
      </c>
      <c r="H64" s="15"/>
      <c r="I64" s="319"/>
      <c r="J64" s="319"/>
    </row>
    <row r="65" spans="1:10" s="111" customFormat="1" ht="19.5" customHeight="1">
      <c r="A65" s="13"/>
      <c r="B65" s="85">
        <v>85497</v>
      </c>
      <c r="C65" s="85" t="s">
        <v>106</v>
      </c>
      <c r="D65" s="302">
        <f t="shared" si="0"/>
        <v>33000</v>
      </c>
      <c r="E65" s="302">
        <v>8250</v>
      </c>
      <c r="F65" s="302">
        <v>24750</v>
      </c>
      <c r="G65" s="302"/>
      <c r="H65" s="302"/>
      <c r="I65" s="319"/>
      <c r="J65" s="319"/>
    </row>
    <row r="66" spans="1:10" s="111" customFormat="1" ht="19.5" customHeight="1">
      <c r="A66" s="13"/>
      <c r="B66" s="29"/>
      <c r="C66" s="29"/>
      <c r="D66" s="15">
        <f t="shared" si="0"/>
        <v>0</v>
      </c>
      <c r="E66" s="15"/>
      <c r="F66" s="15">
        <v>-16500</v>
      </c>
      <c r="G66" s="15">
        <v>16500</v>
      </c>
      <c r="H66" s="15"/>
      <c r="I66" s="319"/>
      <c r="J66" s="319"/>
    </row>
    <row r="67" spans="1:10" s="190" customFormat="1" ht="19.5" customHeight="1">
      <c r="A67" s="13"/>
      <c r="B67" s="13"/>
      <c r="C67" s="106" t="s">
        <v>256</v>
      </c>
      <c r="D67" s="245">
        <f t="shared" si="0"/>
        <v>41420970</v>
      </c>
      <c r="E67" s="245">
        <f>10651067</f>
        <v>10651067</v>
      </c>
      <c r="F67" s="245">
        <f>12350524+F71+F75</f>
        <v>12303178</v>
      </c>
      <c r="G67" s="245">
        <f>10210881+G75</f>
        <v>10261227</v>
      </c>
      <c r="H67" s="245">
        <f>8205498</f>
        <v>8205498</v>
      </c>
      <c r="I67" s="216"/>
      <c r="J67" s="216"/>
    </row>
    <row r="68" spans="1:10" s="190" customFormat="1" ht="19.5" customHeight="1" thickBot="1">
      <c r="A68" s="29"/>
      <c r="B68" s="29"/>
      <c r="C68" s="6" t="s">
        <v>334</v>
      </c>
      <c r="D68" s="7">
        <f t="shared" si="0"/>
        <v>41013770</v>
      </c>
      <c r="E68" s="7">
        <f>10564468</f>
        <v>10564468</v>
      </c>
      <c r="F68" s="7">
        <f>12205647+F71</f>
        <v>12196647</v>
      </c>
      <c r="G68" s="7">
        <f>10129020</f>
        <v>10129020</v>
      </c>
      <c r="H68" s="7">
        <f>8123635</f>
        <v>8123635</v>
      </c>
      <c r="I68" s="216"/>
      <c r="J68" s="216"/>
    </row>
    <row r="69" spans="1:10" s="190" customFormat="1" ht="19.5" customHeight="1" thickTop="1">
      <c r="A69" s="95">
        <v>851</v>
      </c>
      <c r="B69" s="166"/>
      <c r="C69" s="318" t="s">
        <v>337</v>
      </c>
      <c r="D69" s="142">
        <f t="shared" si="0"/>
        <v>5865568</v>
      </c>
      <c r="E69" s="142">
        <f>1330751</f>
        <v>1330751</v>
      </c>
      <c r="F69" s="142">
        <f>2391217+F71</f>
        <v>2382217</v>
      </c>
      <c r="G69" s="142">
        <f>1602600</f>
        <v>1602600</v>
      </c>
      <c r="H69" s="142">
        <f>550000</f>
        <v>550000</v>
      </c>
      <c r="I69" s="216"/>
      <c r="J69" s="216"/>
    </row>
    <row r="70" spans="1:10" s="317" customFormat="1" ht="19.5" customHeight="1">
      <c r="A70" s="85"/>
      <c r="B70" s="170">
        <v>85154</v>
      </c>
      <c r="C70" s="86" t="s">
        <v>359</v>
      </c>
      <c r="D70" s="96">
        <f t="shared" si="0"/>
        <v>2230368</v>
      </c>
      <c r="E70" s="96">
        <v>152751</v>
      </c>
      <c r="F70" s="96">
        <v>1046267</v>
      </c>
      <c r="G70" s="96">
        <v>531350</v>
      </c>
      <c r="H70" s="96">
        <v>500000</v>
      </c>
      <c r="I70" s="333"/>
      <c r="J70" s="333"/>
    </row>
    <row r="71" spans="1:256" s="426" customFormat="1" ht="19.5" customHeight="1">
      <c r="A71" s="13"/>
      <c r="B71" s="368"/>
      <c r="C71" s="316"/>
      <c r="D71" s="19">
        <f t="shared" si="0"/>
        <v>-9000</v>
      </c>
      <c r="E71" s="19"/>
      <c r="F71" s="19">
        <v>-9000</v>
      </c>
      <c r="G71" s="19"/>
      <c r="H71" s="19"/>
      <c r="I71" s="469"/>
      <c r="J71" s="469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  <c r="V71" s="470"/>
      <c r="W71" s="470"/>
      <c r="X71" s="470"/>
      <c r="Y71" s="470"/>
      <c r="Z71" s="470"/>
      <c r="AA71" s="470"/>
      <c r="AB71" s="470"/>
      <c r="AC71" s="470"/>
      <c r="AD71" s="470"/>
      <c r="AE71" s="470"/>
      <c r="AF71" s="470"/>
      <c r="AG71" s="470"/>
      <c r="AH71" s="470"/>
      <c r="AI71" s="470"/>
      <c r="AJ71" s="470"/>
      <c r="AK71" s="470"/>
      <c r="AL71" s="470"/>
      <c r="AM71" s="470"/>
      <c r="AN71" s="470"/>
      <c r="AO71" s="470"/>
      <c r="AP71" s="470"/>
      <c r="AQ71" s="470"/>
      <c r="AR71" s="470"/>
      <c r="AS71" s="470"/>
      <c r="AT71" s="470"/>
      <c r="AU71" s="470"/>
      <c r="AV71" s="470"/>
      <c r="AW71" s="470"/>
      <c r="AX71" s="470"/>
      <c r="AY71" s="470"/>
      <c r="AZ71" s="470"/>
      <c r="BA71" s="470"/>
      <c r="BB71" s="470"/>
      <c r="BC71" s="470"/>
      <c r="BD71" s="470"/>
      <c r="BE71" s="470"/>
      <c r="BF71" s="470"/>
      <c r="BG71" s="470"/>
      <c r="BH71" s="470"/>
      <c r="BI71" s="470"/>
      <c r="BJ71" s="470"/>
      <c r="BK71" s="470"/>
      <c r="BL71" s="470"/>
      <c r="BM71" s="470"/>
      <c r="BN71" s="470"/>
      <c r="BO71" s="470"/>
      <c r="BP71" s="470"/>
      <c r="BQ71" s="470"/>
      <c r="BR71" s="470"/>
      <c r="BS71" s="470"/>
      <c r="BT71" s="470"/>
      <c r="BU71" s="470"/>
      <c r="BV71" s="470"/>
      <c r="BW71" s="470"/>
      <c r="BX71" s="470"/>
      <c r="BY71" s="470"/>
      <c r="BZ71" s="470"/>
      <c r="CA71" s="470"/>
      <c r="CB71" s="470"/>
      <c r="CC71" s="470"/>
      <c r="CD71" s="470"/>
      <c r="CE71" s="470"/>
      <c r="CF71" s="470"/>
      <c r="CG71" s="470"/>
      <c r="CH71" s="470"/>
      <c r="CI71" s="470"/>
      <c r="CJ71" s="470"/>
      <c r="CK71" s="470"/>
      <c r="CL71" s="470"/>
      <c r="CM71" s="470"/>
      <c r="CN71" s="470"/>
      <c r="CO71" s="470"/>
      <c r="CP71" s="470"/>
      <c r="CQ71" s="470"/>
      <c r="CR71" s="470"/>
      <c r="CS71" s="470"/>
      <c r="CT71" s="470"/>
      <c r="CU71" s="470"/>
      <c r="CV71" s="470"/>
      <c r="CW71" s="470"/>
      <c r="CX71" s="470"/>
      <c r="CY71" s="470"/>
      <c r="CZ71" s="470"/>
      <c r="DA71" s="470"/>
      <c r="DB71" s="470"/>
      <c r="DC71" s="470"/>
      <c r="DD71" s="470"/>
      <c r="DE71" s="470"/>
      <c r="DF71" s="470"/>
      <c r="DG71" s="470"/>
      <c r="DH71" s="470"/>
      <c r="DI71" s="470"/>
      <c r="DJ71" s="470"/>
      <c r="DK71" s="470"/>
      <c r="DL71" s="470"/>
      <c r="DM71" s="470"/>
      <c r="DN71" s="470"/>
      <c r="DO71" s="470"/>
      <c r="DP71" s="470"/>
      <c r="DQ71" s="470"/>
      <c r="DR71" s="470"/>
      <c r="DS71" s="470"/>
      <c r="DT71" s="470"/>
      <c r="DU71" s="470"/>
      <c r="DV71" s="470"/>
      <c r="DW71" s="470"/>
      <c r="DX71" s="470"/>
      <c r="DY71" s="470"/>
      <c r="DZ71" s="470"/>
      <c r="EA71" s="470"/>
      <c r="EB71" s="470"/>
      <c r="EC71" s="470"/>
      <c r="ED71" s="470"/>
      <c r="EE71" s="470"/>
      <c r="EF71" s="470"/>
      <c r="EG71" s="470"/>
      <c r="EH71" s="470"/>
      <c r="EI71" s="470"/>
      <c r="EJ71" s="470"/>
      <c r="EK71" s="470"/>
      <c r="EL71" s="470"/>
      <c r="EM71" s="470"/>
      <c r="EN71" s="470"/>
      <c r="EO71" s="470"/>
      <c r="EP71" s="470"/>
      <c r="EQ71" s="470"/>
      <c r="ER71" s="470"/>
      <c r="ES71" s="470"/>
      <c r="ET71" s="470"/>
      <c r="EU71" s="470"/>
      <c r="EV71" s="470"/>
      <c r="EW71" s="470"/>
      <c r="EX71" s="470"/>
      <c r="EY71" s="470"/>
      <c r="EZ71" s="470"/>
      <c r="FA71" s="470"/>
      <c r="FB71" s="470"/>
      <c r="FC71" s="470"/>
      <c r="FD71" s="470"/>
      <c r="FE71" s="470"/>
      <c r="FF71" s="470"/>
      <c r="FG71" s="470"/>
      <c r="FH71" s="470"/>
      <c r="FI71" s="470"/>
      <c r="FJ71" s="470"/>
      <c r="FK71" s="470"/>
      <c r="FL71" s="470"/>
      <c r="FM71" s="470"/>
      <c r="FN71" s="470"/>
      <c r="FO71" s="470"/>
      <c r="FP71" s="470"/>
      <c r="FQ71" s="470"/>
      <c r="FR71" s="470"/>
      <c r="FS71" s="470"/>
      <c r="FT71" s="470"/>
      <c r="FU71" s="470"/>
      <c r="FV71" s="470"/>
      <c r="FW71" s="470"/>
      <c r="FX71" s="470"/>
      <c r="FY71" s="470"/>
      <c r="FZ71" s="470"/>
      <c r="GA71" s="470"/>
      <c r="GB71" s="470"/>
      <c r="GC71" s="470"/>
      <c r="GD71" s="470"/>
      <c r="GE71" s="470"/>
      <c r="GF71" s="470"/>
      <c r="GG71" s="470"/>
      <c r="GH71" s="470"/>
      <c r="GI71" s="470"/>
      <c r="GJ71" s="470"/>
      <c r="GK71" s="470"/>
      <c r="GL71" s="470"/>
      <c r="GM71" s="470"/>
      <c r="GN71" s="470"/>
      <c r="GO71" s="470"/>
      <c r="GP71" s="470"/>
      <c r="GQ71" s="470"/>
      <c r="GR71" s="470"/>
      <c r="GS71" s="470"/>
      <c r="GT71" s="470"/>
      <c r="GU71" s="470"/>
      <c r="GV71" s="470"/>
      <c r="GW71" s="470"/>
      <c r="GX71" s="470"/>
      <c r="GY71" s="470"/>
      <c r="GZ71" s="470"/>
      <c r="HA71" s="470"/>
      <c r="HB71" s="470"/>
      <c r="HC71" s="470"/>
      <c r="HD71" s="470"/>
      <c r="HE71" s="470"/>
      <c r="HF71" s="470"/>
      <c r="HG71" s="470"/>
      <c r="HH71" s="470"/>
      <c r="HI71" s="470"/>
      <c r="HJ71" s="470"/>
      <c r="HK71" s="470"/>
      <c r="HL71" s="470"/>
      <c r="HM71" s="470"/>
      <c r="HN71" s="470"/>
      <c r="HO71" s="470"/>
      <c r="HP71" s="470"/>
      <c r="HQ71" s="470"/>
      <c r="HR71" s="470"/>
      <c r="HS71" s="470"/>
      <c r="HT71" s="470"/>
      <c r="HU71" s="470"/>
      <c r="HV71" s="470"/>
      <c r="HW71" s="470"/>
      <c r="HX71" s="470"/>
      <c r="HY71" s="470"/>
      <c r="HZ71" s="470"/>
      <c r="IA71" s="470"/>
      <c r="IB71" s="470"/>
      <c r="IC71" s="470"/>
      <c r="ID71" s="470"/>
      <c r="IE71" s="470"/>
      <c r="IF71" s="470"/>
      <c r="IG71" s="470"/>
      <c r="IH71" s="470"/>
      <c r="II71" s="470"/>
      <c r="IJ71" s="470"/>
      <c r="IK71" s="470"/>
      <c r="IL71" s="470"/>
      <c r="IM71" s="470"/>
      <c r="IN71" s="470"/>
      <c r="IO71" s="470"/>
      <c r="IP71" s="470"/>
      <c r="IQ71" s="470"/>
      <c r="IR71" s="470"/>
      <c r="IS71" s="470"/>
      <c r="IT71" s="470"/>
      <c r="IU71" s="470"/>
      <c r="IV71" s="470"/>
    </row>
    <row r="72" spans="1:10" s="190" customFormat="1" ht="30" customHeight="1" thickBot="1">
      <c r="A72" s="29"/>
      <c r="B72" s="29"/>
      <c r="C72" s="74" t="s">
        <v>292</v>
      </c>
      <c r="D72" s="7">
        <f t="shared" si="0"/>
        <v>381200</v>
      </c>
      <c r="E72" s="7">
        <f>80099</f>
        <v>80099</v>
      </c>
      <c r="F72" s="7">
        <f>138377+F75</f>
        <v>100031</v>
      </c>
      <c r="G72" s="7">
        <f>75361+G75</f>
        <v>125707</v>
      </c>
      <c r="H72" s="7">
        <f>75363</f>
        <v>75363</v>
      </c>
      <c r="I72" s="216"/>
      <c r="J72" s="216"/>
    </row>
    <row r="73" spans="1:10" s="190" customFormat="1" ht="19.5" customHeight="1" thickTop="1">
      <c r="A73" s="95">
        <v>853</v>
      </c>
      <c r="B73" s="166"/>
      <c r="C73" s="318" t="s">
        <v>216</v>
      </c>
      <c r="D73" s="142">
        <f t="shared" si="0"/>
        <v>381200</v>
      </c>
      <c r="E73" s="142">
        <f>80099</f>
        <v>80099</v>
      </c>
      <c r="F73" s="142">
        <f>138377+F75</f>
        <v>100031</v>
      </c>
      <c r="G73" s="142">
        <f>75361+G75</f>
        <v>125707</v>
      </c>
      <c r="H73" s="142">
        <f>75363</f>
        <v>75363</v>
      </c>
      <c r="I73" s="216"/>
      <c r="J73" s="216"/>
    </row>
    <row r="74" spans="1:10" s="317" customFormat="1" ht="19.5" customHeight="1">
      <c r="A74" s="85"/>
      <c r="B74" s="170">
        <v>85321</v>
      </c>
      <c r="C74" s="86" t="s">
        <v>378</v>
      </c>
      <c r="D74" s="96">
        <f t="shared" si="0"/>
        <v>369200</v>
      </c>
      <c r="E74" s="96">
        <v>80099</v>
      </c>
      <c r="F74" s="96">
        <v>138377</v>
      </c>
      <c r="G74" s="96">
        <v>75361</v>
      </c>
      <c r="H74" s="96">
        <v>75363</v>
      </c>
      <c r="I74" s="333"/>
      <c r="J74" s="333"/>
    </row>
    <row r="75" spans="1:256" s="426" customFormat="1" ht="19.5" customHeight="1">
      <c r="A75" s="13"/>
      <c r="B75" s="368"/>
      <c r="C75" s="316"/>
      <c r="D75" s="19">
        <f t="shared" si="0"/>
        <v>12000</v>
      </c>
      <c r="E75" s="19"/>
      <c r="F75" s="19">
        <v>-38346</v>
      </c>
      <c r="G75" s="19">
        <f>38346+12000</f>
        <v>50346</v>
      </c>
      <c r="H75" s="19"/>
      <c r="I75" s="469"/>
      <c r="J75" s="469"/>
      <c r="K75" s="470"/>
      <c r="L75" s="470"/>
      <c r="M75" s="470"/>
      <c r="N75" s="470"/>
      <c r="O75" s="470"/>
      <c r="P75" s="470"/>
      <c r="Q75" s="470"/>
      <c r="R75" s="470"/>
      <c r="S75" s="470"/>
      <c r="T75" s="470"/>
      <c r="U75" s="470"/>
      <c r="V75" s="470"/>
      <c r="W75" s="470"/>
      <c r="X75" s="470"/>
      <c r="Y75" s="470"/>
      <c r="Z75" s="470"/>
      <c r="AA75" s="470"/>
      <c r="AB75" s="470"/>
      <c r="AC75" s="470"/>
      <c r="AD75" s="470"/>
      <c r="AE75" s="470"/>
      <c r="AF75" s="470"/>
      <c r="AG75" s="470"/>
      <c r="AH75" s="470"/>
      <c r="AI75" s="470"/>
      <c r="AJ75" s="470"/>
      <c r="AK75" s="470"/>
      <c r="AL75" s="470"/>
      <c r="AM75" s="470"/>
      <c r="AN75" s="470"/>
      <c r="AO75" s="470"/>
      <c r="AP75" s="470"/>
      <c r="AQ75" s="470"/>
      <c r="AR75" s="470"/>
      <c r="AS75" s="470"/>
      <c r="AT75" s="470"/>
      <c r="AU75" s="470"/>
      <c r="AV75" s="470"/>
      <c r="AW75" s="470"/>
      <c r="AX75" s="470"/>
      <c r="AY75" s="470"/>
      <c r="AZ75" s="470"/>
      <c r="BA75" s="470"/>
      <c r="BB75" s="470"/>
      <c r="BC75" s="470"/>
      <c r="BD75" s="470"/>
      <c r="BE75" s="470"/>
      <c r="BF75" s="470"/>
      <c r="BG75" s="470"/>
      <c r="BH75" s="470"/>
      <c r="BI75" s="470"/>
      <c r="BJ75" s="470"/>
      <c r="BK75" s="470"/>
      <c r="BL75" s="470"/>
      <c r="BM75" s="470"/>
      <c r="BN75" s="470"/>
      <c r="BO75" s="470"/>
      <c r="BP75" s="470"/>
      <c r="BQ75" s="470"/>
      <c r="BR75" s="470"/>
      <c r="BS75" s="470"/>
      <c r="BT75" s="470"/>
      <c r="BU75" s="470"/>
      <c r="BV75" s="470"/>
      <c r="BW75" s="470"/>
      <c r="BX75" s="470"/>
      <c r="BY75" s="470"/>
      <c r="BZ75" s="470"/>
      <c r="CA75" s="470"/>
      <c r="CB75" s="470"/>
      <c r="CC75" s="470"/>
      <c r="CD75" s="470"/>
      <c r="CE75" s="470"/>
      <c r="CF75" s="470"/>
      <c r="CG75" s="470"/>
      <c r="CH75" s="470"/>
      <c r="CI75" s="470"/>
      <c r="CJ75" s="470"/>
      <c r="CK75" s="470"/>
      <c r="CL75" s="470"/>
      <c r="CM75" s="470"/>
      <c r="CN75" s="470"/>
      <c r="CO75" s="470"/>
      <c r="CP75" s="470"/>
      <c r="CQ75" s="470"/>
      <c r="CR75" s="470"/>
      <c r="CS75" s="470"/>
      <c r="CT75" s="470"/>
      <c r="CU75" s="470"/>
      <c r="CV75" s="470"/>
      <c r="CW75" s="470"/>
      <c r="CX75" s="470"/>
      <c r="CY75" s="470"/>
      <c r="CZ75" s="470"/>
      <c r="DA75" s="470"/>
      <c r="DB75" s="470"/>
      <c r="DC75" s="470"/>
      <c r="DD75" s="470"/>
      <c r="DE75" s="470"/>
      <c r="DF75" s="470"/>
      <c r="DG75" s="470"/>
      <c r="DH75" s="470"/>
      <c r="DI75" s="470"/>
      <c r="DJ75" s="470"/>
      <c r="DK75" s="470"/>
      <c r="DL75" s="470"/>
      <c r="DM75" s="470"/>
      <c r="DN75" s="470"/>
      <c r="DO75" s="470"/>
      <c r="DP75" s="470"/>
      <c r="DQ75" s="470"/>
      <c r="DR75" s="470"/>
      <c r="DS75" s="470"/>
      <c r="DT75" s="470"/>
      <c r="DU75" s="470"/>
      <c r="DV75" s="470"/>
      <c r="DW75" s="470"/>
      <c r="DX75" s="470"/>
      <c r="DY75" s="470"/>
      <c r="DZ75" s="470"/>
      <c r="EA75" s="470"/>
      <c r="EB75" s="470"/>
      <c r="EC75" s="470"/>
      <c r="ED75" s="470"/>
      <c r="EE75" s="470"/>
      <c r="EF75" s="470"/>
      <c r="EG75" s="470"/>
      <c r="EH75" s="470"/>
      <c r="EI75" s="470"/>
      <c r="EJ75" s="470"/>
      <c r="EK75" s="470"/>
      <c r="EL75" s="470"/>
      <c r="EM75" s="470"/>
      <c r="EN75" s="470"/>
      <c r="EO75" s="470"/>
      <c r="EP75" s="470"/>
      <c r="EQ75" s="470"/>
      <c r="ER75" s="470"/>
      <c r="ES75" s="470"/>
      <c r="ET75" s="470"/>
      <c r="EU75" s="470"/>
      <c r="EV75" s="470"/>
      <c r="EW75" s="470"/>
      <c r="EX75" s="470"/>
      <c r="EY75" s="470"/>
      <c r="EZ75" s="470"/>
      <c r="FA75" s="470"/>
      <c r="FB75" s="470"/>
      <c r="FC75" s="470"/>
      <c r="FD75" s="470"/>
      <c r="FE75" s="470"/>
      <c r="FF75" s="470"/>
      <c r="FG75" s="470"/>
      <c r="FH75" s="470"/>
      <c r="FI75" s="470"/>
      <c r="FJ75" s="470"/>
      <c r="FK75" s="470"/>
      <c r="FL75" s="470"/>
      <c r="FM75" s="470"/>
      <c r="FN75" s="470"/>
      <c r="FO75" s="470"/>
      <c r="FP75" s="470"/>
      <c r="FQ75" s="470"/>
      <c r="FR75" s="470"/>
      <c r="FS75" s="470"/>
      <c r="FT75" s="470"/>
      <c r="FU75" s="470"/>
      <c r="FV75" s="470"/>
      <c r="FW75" s="470"/>
      <c r="FX75" s="470"/>
      <c r="FY75" s="470"/>
      <c r="FZ75" s="470"/>
      <c r="GA75" s="470"/>
      <c r="GB75" s="470"/>
      <c r="GC75" s="470"/>
      <c r="GD75" s="470"/>
      <c r="GE75" s="470"/>
      <c r="GF75" s="470"/>
      <c r="GG75" s="470"/>
      <c r="GH75" s="470"/>
      <c r="GI75" s="470"/>
      <c r="GJ75" s="470"/>
      <c r="GK75" s="470"/>
      <c r="GL75" s="470"/>
      <c r="GM75" s="470"/>
      <c r="GN75" s="470"/>
      <c r="GO75" s="470"/>
      <c r="GP75" s="470"/>
      <c r="GQ75" s="470"/>
      <c r="GR75" s="470"/>
      <c r="GS75" s="470"/>
      <c r="GT75" s="470"/>
      <c r="GU75" s="470"/>
      <c r="GV75" s="470"/>
      <c r="GW75" s="470"/>
      <c r="GX75" s="470"/>
      <c r="GY75" s="470"/>
      <c r="GZ75" s="470"/>
      <c r="HA75" s="470"/>
      <c r="HB75" s="470"/>
      <c r="HC75" s="470"/>
      <c r="HD75" s="470"/>
      <c r="HE75" s="470"/>
      <c r="HF75" s="470"/>
      <c r="HG75" s="470"/>
      <c r="HH75" s="470"/>
      <c r="HI75" s="470"/>
      <c r="HJ75" s="470"/>
      <c r="HK75" s="470"/>
      <c r="HL75" s="470"/>
      <c r="HM75" s="470"/>
      <c r="HN75" s="470"/>
      <c r="HO75" s="470"/>
      <c r="HP75" s="470"/>
      <c r="HQ75" s="470"/>
      <c r="HR75" s="470"/>
      <c r="HS75" s="470"/>
      <c r="HT75" s="470"/>
      <c r="HU75" s="470"/>
      <c r="HV75" s="470"/>
      <c r="HW75" s="470"/>
      <c r="HX75" s="470"/>
      <c r="HY75" s="470"/>
      <c r="HZ75" s="470"/>
      <c r="IA75" s="470"/>
      <c r="IB75" s="470"/>
      <c r="IC75" s="470"/>
      <c r="ID75" s="470"/>
      <c r="IE75" s="470"/>
      <c r="IF75" s="470"/>
      <c r="IG75" s="470"/>
      <c r="IH75" s="470"/>
      <c r="II75" s="470"/>
      <c r="IJ75" s="470"/>
      <c r="IK75" s="470"/>
      <c r="IL75" s="470"/>
      <c r="IM75" s="470"/>
      <c r="IN75" s="470"/>
      <c r="IO75" s="470"/>
      <c r="IP75" s="470"/>
      <c r="IQ75" s="470"/>
      <c r="IR75" s="470"/>
      <c r="IS75" s="470"/>
      <c r="IT75" s="470"/>
      <c r="IU75" s="470"/>
      <c r="IV75" s="470"/>
    </row>
    <row r="76" spans="1:10" s="190" customFormat="1" ht="19.5" customHeight="1">
      <c r="A76" s="13"/>
      <c r="B76" s="13"/>
      <c r="C76" s="106" t="s">
        <v>257</v>
      </c>
      <c r="D76" s="383">
        <f t="shared" si="0"/>
        <v>54807874</v>
      </c>
      <c r="E76" s="383">
        <f>4565018</f>
        <v>4565018</v>
      </c>
      <c r="F76" s="383">
        <f>19920799</f>
        <v>19920799</v>
      </c>
      <c r="G76" s="383">
        <f>16438257+G80+G86</f>
        <v>16378257</v>
      </c>
      <c r="H76" s="383">
        <f>13613800+H82+H80</f>
        <v>13943800</v>
      </c>
      <c r="I76" s="216"/>
      <c r="J76" s="216"/>
    </row>
    <row r="77" spans="1:10" s="190" customFormat="1" ht="19.5" customHeight="1" thickBot="1">
      <c r="A77" s="29"/>
      <c r="B77" s="29"/>
      <c r="C77" s="6" t="s">
        <v>334</v>
      </c>
      <c r="D77" s="341">
        <f t="shared" si="0"/>
        <v>54672874</v>
      </c>
      <c r="E77" s="341">
        <f>4565018</f>
        <v>4565018</v>
      </c>
      <c r="F77" s="341">
        <f>19920799</f>
        <v>19920799</v>
      </c>
      <c r="G77" s="341">
        <f>16303257+G80+G86</f>
        <v>16243257</v>
      </c>
      <c r="H77" s="341">
        <f>13613800+H82+H80</f>
        <v>13943800</v>
      </c>
      <c r="I77" s="216"/>
      <c r="J77" s="216"/>
    </row>
    <row r="78" spans="1:10" s="190" customFormat="1" ht="19.5" customHeight="1" thickTop="1">
      <c r="A78" s="95">
        <v>754</v>
      </c>
      <c r="B78" s="95"/>
      <c r="C78" s="8" t="s">
        <v>127</v>
      </c>
      <c r="D78" s="351">
        <f>SUM(E78:H78)</f>
        <v>0</v>
      </c>
      <c r="E78" s="351"/>
      <c r="F78" s="351"/>
      <c r="G78" s="351">
        <f>200000+G80</f>
        <v>0</v>
      </c>
      <c r="H78" s="351">
        <f>200000+H80</f>
        <v>0</v>
      </c>
      <c r="I78" s="216"/>
      <c r="J78" s="216"/>
    </row>
    <row r="79" spans="1:10" s="190" customFormat="1" ht="19.5" customHeight="1">
      <c r="A79" s="13"/>
      <c r="B79" s="85">
        <v>75405</v>
      </c>
      <c r="C79" s="85" t="s">
        <v>128</v>
      </c>
      <c r="D79" s="377">
        <f>SUM(E79:H79)</f>
        <v>400000</v>
      </c>
      <c r="E79" s="377"/>
      <c r="F79" s="377"/>
      <c r="G79" s="377">
        <v>200000</v>
      </c>
      <c r="H79" s="377">
        <v>200000</v>
      </c>
      <c r="I79" s="216"/>
      <c r="J79" s="216"/>
    </row>
    <row r="80" spans="1:10" s="190" customFormat="1" ht="19.5" customHeight="1">
      <c r="A80" s="13"/>
      <c r="B80" s="29"/>
      <c r="C80" s="29"/>
      <c r="D80" s="380">
        <f>SUM(E80:H80)</f>
        <v>-400000</v>
      </c>
      <c r="E80" s="380"/>
      <c r="F80" s="380"/>
      <c r="G80" s="380">
        <v>-200000</v>
      </c>
      <c r="H80" s="380">
        <v>-200000</v>
      </c>
      <c r="I80" s="216"/>
      <c r="J80" s="216"/>
    </row>
    <row r="81" spans="1:10" s="190" customFormat="1" ht="19.5" customHeight="1">
      <c r="A81" s="95">
        <v>851</v>
      </c>
      <c r="B81" s="95"/>
      <c r="C81" s="8" t="s">
        <v>337</v>
      </c>
      <c r="D81" s="351">
        <f t="shared" si="0"/>
        <v>1096000</v>
      </c>
      <c r="E81" s="351">
        <f>299815</f>
        <v>299815</v>
      </c>
      <c r="F81" s="351">
        <f>266185</f>
        <v>266185</v>
      </c>
      <c r="G81" s="351"/>
      <c r="H81" s="351">
        <f>H82</f>
        <v>530000</v>
      </c>
      <c r="I81" s="216"/>
      <c r="J81" s="216"/>
    </row>
    <row r="82" spans="1:10" s="190" customFormat="1" ht="19.5" customHeight="1">
      <c r="A82" s="13"/>
      <c r="B82" s="533">
        <v>85154</v>
      </c>
      <c r="C82" s="533" t="s">
        <v>359</v>
      </c>
      <c r="D82" s="711">
        <f t="shared" si="0"/>
        <v>530000</v>
      </c>
      <c r="E82" s="711"/>
      <c r="F82" s="711"/>
      <c r="G82" s="711"/>
      <c r="H82" s="711">
        <v>530000</v>
      </c>
      <c r="I82" s="216"/>
      <c r="J82" s="216"/>
    </row>
    <row r="83" spans="1:10" s="190" customFormat="1" ht="19.5" customHeight="1">
      <c r="A83" s="558"/>
      <c r="B83" s="553"/>
      <c r="C83" s="553"/>
      <c r="D83" s="712"/>
      <c r="E83" s="712"/>
      <c r="F83" s="712"/>
      <c r="G83" s="712"/>
      <c r="H83" s="712"/>
      <c r="I83" s="216"/>
      <c r="J83" s="216"/>
    </row>
    <row r="84" spans="1:10" s="190" customFormat="1" ht="19.5" customHeight="1">
      <c r="A84" s="8">
        <v>921</v>
      </c>
      <c r="B84" s="8"/>
      <c r="C84" s="8" t="s">
        <v>251</v>
      </c>
      <c r="D84" s="351">
        <f>SUM(E84:H84)</f>
        <v>3117000</v>
      </c>
      <c r="E84" s="351">
        <f>435885</f>
        <v>435885</v>
      </c>
      <c r="F84" s="351">
        <f>2001115</f>
        <v>2001115</v>
      </c>
      <c r="G84" s="351">
        <f>540000+G86</f>
        <v>680000</v>
      </c>
      <c r="H84" s="351"/>
      <c r="I84" s="216"/>
      <c r="J84" s="216"/>
    </row>
    <row r="85" spans="1:10" s="190" customFormat="1" ht="19.5" customHeight="1">
      <c r="A85" s="13"/>
      <c r="B85" s="85">
        <v>92105</v>
      </c>
      <c r="C85" s="85" t="s">
        <v>252</v>
      </c>
      <c r="D85" s="377">
        <f>SUM(E85:H85)</f>
        <v>1280000</v>
      </c>
      <c r="E85" s="377">
        <v>171341</v>
      </c>
      <c r="F85" s="377">
        <v>1108659</v>
      </c>
      <c r="G85" s="377"/>
      <c r="H85" s="377"/>
      <c r="I85" s="216"/>
      <c r="J85" s="216"/>
    </row>
    <row r="86" spans="1:10" s="190" customFormat="1" ht="19.5" customHeight="1">
      <c r="A86" s="13"/>
      <c r="B86" s="29"/>
      <c r="C86" s="29"/>
      <c r="D86" s="380">
        <f>SUM(E86:H86)</f>
        <v>140000</v>
      </c>
      <c r="E86" s="380"/>
      <c r="F86" s="380"/>
      <c r="G86" s="380">
        <v>140000</v>
      </c>
      <c r="H86" s="380"/>
      <c r="I86" s="216"/>
      <c r="J86" s="216"/>
    </row>
    <row r="87" spans="1:10" s="190" customFormat="1" ht="30.75" customHeight="1">
      <c r="A87" s="13"/>
      <c r="B87" s="13"/>
      <c r="C87" s="218" t="s">
        <v>131</v>
      </c>
      <c r="D87" s="383">
        <f t="shared" si="0"/>
        <v>1109200</v>
      </c>
      <c r="E87" s="383">
        <v>159183</v>
      </c>
      <c r="F87" s="383">
        <f>253902+F91</f>
        <v>189182</v>
      </c>
      <c r="G87" s="383">
        <f>213583+G91</f>
        <v>213583</v>
      </c>
      <c r="H87" s="383">
        <f>82532+H91</f>
        <v>547252</v>
      </c>
      <c r="I87" s="216"/>
      <c r="J87" s="216"/>
    </row>
    <row r="88" spans="1:10" s="190" customFormat="1" ht="19.5" customHeight="1" thickBot="1">
      <c r="A88" s="29"/>
      <c r="B88" s="29"/>
      <c r="C88" s="6" t="s">
        <v>334</v>
      </c>
      <c r="D88" s="341">
        <f t="shared" si="0"/>
        <v>1107000</v>
      </c>
      <c r="E88" s="341">
        <v>159183</v>
      </c>
      <c r="F88" s="341">
        <f>252402+F91</f>
        <v>187682</v>
      </c>
      <c r="G88" s="341">
        <f>213583+G91</f>
        <v>213583</v>
      </c>
      <c r="H88" s="341">
        <f>81832+H91</f>
        <v>546552</v>
      </c>
      <c r="I88" s="216"/>
      <c r="J88" s="216"/>
    </row>
    <row r="89" spans="1:10" s="190" customFormat="1" ht="19.5" customHeight="1" thickTop="1">
      <c r="A89" s="95">
        <v>754</v>
      </c>
      <c r="B89" s="95"/>
      <c r="C89" s="8" t="s">
        <v>127</v>
      </c>
      <c r="D89" s="351">
        <f>SUM(E89:H89)</f>
        <v>585000</v>
      </c>
      <c r="E89" s="351">
        <v>13600</v>
      </c>
      <c r="F89" s="351">
        <f>85300+F91</f>
        <v>20580</v>
      </c>
      <c r="G89" s="351">
        <f>81400+G91</f>
        <v>81400</v>
      </c>
      <c r="H89" s="351">
        <f>4700+H91</f>
        <v>469420</v>
      </c>
      <c r="I89" s="216"/>
      <c r="J89" s="216"/>
    </row>
    <row r="90" spans="1:10" s="190" customFormat="1" ht="19.5" customHeight="1">
      <c r="A90" s="13"/>
      <c r="B90" s="85">
        <v>75495</v>
      </c>
      <c r="C90" s="85" t="s">
        <v>235</v>
      </c>
      <c r="D90" s="377">
        <f>SUM(E90:H90)</f>
        <v>150000</v>
      </c>
      <c r="E90" s="377"/>
      <c r="F90" s="377">
        <v>75000</v>
      </c>
      <c r="G90" s="377">
        <v>75000</v>
      </c>
      <c r="H90" s="377"/>
      <c r="I90" s="216"/>
      <c r="J90" s="216"/>
    </row>
    <row r="91" spans="1:10" s="190" customFormat="1" ht="19.5" customHeight="1">
      <c r="A91" s="13"/>
      <c r="B91" s="29"/>
      <c r="C91" s="29"/>
      <c r="D91" s="380">
        <f>SUM(E91:H91)</f>
        <v>400000</v>
      </c>
      <c r="E91" s="380"/>
      <c r="F91" s="380">
        <v>-64720</v>
      </c>
      <c r="G91" s="380"/>
      <c r="H91" s="380">
        <v>464720</v>
      </c>
      <c r="I91" s="216"/>
      <c r="J91" s="216"/>
    </row>
    <row r="92" spans="1:8" ht="19.5" customHeight="1">
      <c r="A92" s="13"/>
      <c r="B92" s="13"/>
      <c r="C92" s="218" t="s">
        <v>355</v>
      </c>
      <c r="D92" s="301">
        <f t="shared" si="0"/>
        <v>1723000</v>
      </c>
      <c r="E92" s="301">
        <f>447700</f>
        <v>447700</v>
      </c>
      <c r="F92" s="301">
        <f>455700+F96</f>
        <v>449800</v>
      </c>
      <c r="G92" s="301">
        <f>410100+G96</f>
        <v>416000</v>
      </c>
      <c r="H92" s="301">
        <f>409500</f>
        <v>409500</v>
      </c>
    </row>
    <row r="93" spans="1:8" ht="19.5" customHeight="1" thickBot="1">
      <c r="A93" s="29"/>
      <c r="B93" s="29"/>
      <c r="C93" s="74" t="s">
        <v>334</v>
      </c>
      <c r="D93" s="75">
        <f t="shared" si="0"/>
        <v>1692500</v>
      </c>
      <c r="E93" s="75">
        <f>440000</f>
        <v>440000</v>
      </c>
      <c r="F93" s="75">
        <f>448000+F96</f>
        <v>442100</v>
      </c>
      <c r="G93" s="75">
        <f>402400+G96</f>
        <v>408300</v>
      </c>
      <c r="H93" s="75">
        <f>402100</f>
        <v>402100</v>
      </c>
    </row>
    <row r="94" spans="1:8" ht="19.5" customHeight="1" thickTop="1">
      <c r="A94" s="8">
        <v>851</v>
      </c>
      <c r="B94" s="8"/>
      <c r="C94" s="8" t="s">
        <v>337</v>
      </c>
      <c r="D94" s="9">
        <f t="shared" si="0"/>
        <v>9000</v>
      </c>
      <c r="E94" s="9"/>
      <c r="F94" s="9">
        <f>5900+F96</f>
        <v>0</v>
      </c>
      <c r="G94" s="9">
        <f>1000+G96</f>
        <v>6900</v>
      </c>
      <c r="H94" s="9">
        <f>2100</f>
        <v>2100</v>
      </c>
    </row>
    <row r="95" spans="1:8" ht="19.5" customHeight="1">
      <c r="A95" s="13"/>
      <c r="B95" s="85">
        <v>85154</v>
      </c>
      <c r="C95" s="85" t="s">
        <v>359</v>
      </c>
      <c r="D95" s="302">
        <f t="shared" si="0"/>
        <v>9000</v>
      </c>
      <c r="E95" s="302"/>
      <c r="F95" s="302">
        <v>5900</v>
      </c>
      <c r="G95" s="302">
        <v>1000</v>
      </c>
      <c r="H95" s="302">
        <v>2100</v>
      </c>
    </row>
    <row r="96" spans="1:8" ht="19.5" customHeight="1">
      <c r="A96" s="13"/>
      <c r="B96" s="29"/>
      <c r="C96" s="29"/>
      <c r="D96" s="15">
        <f t="shared" si="0"/>
        <v>0</v>
      </c>
      <c r="E96" s="15"/>
      <c r="F96" s="15">
        <v>-5900</v>
      </c>
      <c r="G96" s="15">
        <v>5900</v>
      </c>
      <c r="H96" s="15"/>
    </row>
    <row r="97" spans="1:8" ht="23.25" customHeight="1">
      <c r="A97" s="13"/>
      <c r="B97" s="85"/>
      <c r="C97" s="332" t="s">
        <v>449</v>
      </c>
      <c r="D97" s="335">
        <f aca="true" t="shared" si="2" ref="D97:D106">SUM(E97:H97)</f>
        <v>60880561</v>
      </c>
      <c r="E97" s="335">
        <f>15778534+E105</f>
        <v>15539249</v>
      </c>
      <c r="F97" s="335">
        <f>16856787+F105</f>
        <v>16734485</v>
      </c>
      <c r="G97" s="335">
        <f>14843789+G101+G105+G109</f>
        <v>15033366</v>
      </c>
      <c r="H97" s="335">
        <f>13331461+H105+H107</f>
        <v>13573461</v>
      </c>
    </row>
    <row r="98" spans="1:8" ht="19.5" customHeight="1" thickBot="1">
      <c r="A98" s="29"/>
      <c r="B98" s="29"/>
      <c r="C98" s="6" t="s">
        <v>334</v>
      </c>
      <c r="D98" s="7">
        <f t="shared" si="2"/>
        <v>30647223</v>
      </c>
      <c r="E98" s="7">
        <f>8054534</f>
        <v>8054534</v>
      </c>
      <c r="F98" s="7">
        <f>9230711</f>
        <v>9230711</v>
      </c>
      <c r="G98" s="7">
        <f>7151539+G101</f>
        <v>7401539</v>
      </c>
      <c r="H98" s="7">
        <f>5960439</f>
        <v>5960439</v>
      </c>
    </row>
    <row r="99" spans="1:8" ht="19.5" customHeight="1" thickTop="1">
      <c r="A99" s="8">
        <v>853</v>
      </c>
      <c r="B99" s="8"/>
      <c r="C99" s="8" t="s">
        <v>216</v>
      </c>
      <c r="D99" s="9">
        <f>SUM(E99:H99)</f>
        <v>29604223</v>
      </c>
      <c r="E99" s="9">
        <f>7755334</f>
        <v>7755334</v>
      </c>
      <c r="F99" s="9">
        <f>8903382</f>
        <v>8903382</v>
      </c>
      <c r="G99" s="9">
        <f>6949712+G101</f>
        <v>7199712</v>
      </c>
      <c r="H99" s="9">
        <f>5745795</f>
        <v>5745795</v>
      </c>
    </row>
    <row r="100" spans="1:8" ht="19.5" customHeight="1">
      <c r="A100" s="4"/>
      <c r="B100" s="477">
        <v>85304</v>
      </c>
      <c r="C100" s="477" t="s">
        <v>401</v>
      </c>
      <c r="D100" s="302">
        <f>SUM(E100:H100)</f>
        <v>4254110</v>
      </c>
      <c r="E100" s="302">
        <v>916000</v>
      </c>
      <c r="F100" s="302">
        <v>1784000</v>
      </c>
      <c r="G100" s="302">
        <v>1162000</v>
      </c>
      <c r="H100" s="302">
        <v>392110</v>
      </c>
    </row>
    <row r="101" spans="1:8" ht="19.5" customHeight="1">
      <c r="A101" s="4"/>
      <c r="B101" s="5"/>
      <c r="C101" s="5"/>
      <c r="D101" s="15">
        <f>SUM(E101:H101)</f>
        <v>250000</v>
      </c>
      <c r="E101" s="15"/>
      <c r="F101" s="15"/>
      <c r="G101" s="15">
        <v>250000</v>
      </c>
      <c r="H101" s="15"/>
    </row>
    <row r="102" spans="1:8" ht="19.5" customHeight="1" thickBot="1">
      <c r="A102" s="29"/>
      <c r="B102" s="164"/>
      <c r="C102" s="475" t="s">
        <v>291</v>
      </c>
      <c r="D102" s="476">
        <f t="shared" si="2"/>
        <v>28300870</v>
      </c>
      <c r="E102" s="476">
        <f>7263750+E105</f>
        <v>7024465</v>
      </c>
      <c r="F102" s="476">
        <f>7139080+F105</f>
        <v>7016778</v>
      </c>
      <c r="G102" s="476">
        <f>7177000+G105+G109</f>
        <v>7116577</v>
      </c>
      <c r="H102" s="476">
        <f>6901050+H105+H107</f>
        <v>7143050</v>
      </c>
    </row>
    <row r="103" spans="1:8" ht="19.5" customHeight="1" thickTop="1">
      <c r="A103" s="8">
        <v>853</v>
      </c>
      <c r="B103" s="8"/>
      <c r="C103" s="8" t="s">
        <v>216</v>
      </c>
      <c r="D103" s="9">
        <f t="shared" si="2"/>
        <v>28300870</v>
      </c>
      <c r="E103" s="9">
        <f>7263750+E105</f>
        <v>7024465</v>
      </c>
      <c r="F103" s="9">
        <f>7139080+F105</f>
        <v>7016778</v>
      </c>
      <c r="G103" s="9">
        <f>7177000+G105+G109</f>
        <v>7116577</v>
      </c>
      <c r="H103" s="9">
        <f>6901050+H105+H107</f>
        <v>7143050</v>
      </c>
    </row>
    <row r="104" spans="1:8" ht="28.5" customHeight="1">
      <c r="A104" s="4"/>
      <c r="B104" s="398">
        <v>85313</v>
      </c>
      <c r="C104" s="434" t="s">
        <v>408</v>
      </c>
      <c r="D104" s="302">
        <f t="shared" si="2"/>
        <v>1473000</v>
      </c>
      <c r="E104" s="302">
        <v>368250</v>
      </c>
      <c r="F104" s="302">
        <v>368250</v>
      </c>
      <c r="G104" s="302">
        <v>368250</v>
      </c>
      <c r="H104" s="302">
        <v>368250</v>
      </c>
    </row>
    <row r="105" spans="1:8" ht="21" customHeight="1">
      <c r="A105" s="4"/>
      <c r="B105" s="399"/>
      <c r="C105" s="406"/>
      <c r="D105" s="15">
        <f>SUM(E105:H105)</f>
        <v>-473000</v>
      </c>
      <c r="E105" s="15">
        <v>-239285</v>
      </c>
      <c r="F105" s="15">
        <v>-122302</v>
      </c>
      <c r="G105" s="15">
        <v>-61413</v>
      </c>
      <c r="H105" s="15">
        <v>-50000</v>
      </c>
    </row>
    <row r="106" spans="1:8" ht="24.75" customHeight="1">
      <c r="A106" s="4"/>
      <c r="B106" s="523">
        <v>85314</v>
      </c>
      <c r="C106" s="86" t="s">
        <v>411</v>
      </c>
      <c r="D106" s="302">
        <f t="shared" si="2"/>
        <v>20316000</v>
      </c>
      <c r="E106" s="14">
        <v>5079000</v>
      </c>
      <c r="F106" s="14">
        <v>5079000</v>
      </c>
      <c r="G106" s="14">
        <v>5079000</v>
      </c>
      <c r="H106" s="14">
        <v>5079000</v>
      </c>
    </row>
    <row r="107" spans="1:8" ht="19.5" customHeight="1">
      <c r="A107" s="4"/>
      <c r="B107" s="523"/>
      <c r="C107" s="406"/>
      <c r="D107" s="15">
        <f>SUM(E107:H107)</f>
        <v>292000</v>
      </c>
      <c r="E107" s="15"/>
      <c r="F107" s="15"/>
      <c r="G107" s="15"/>
      <c r="H107" s="15">
        <v>292000</v>
      </c>
    </row>
    <row r="108" spans="1:8" ht="19.5" customHeight="1">
      <c r="A108" s="4"/>
      <c r="B108" s="398">
        <v>85395</v>
      </c>
      <c r="C108" s="405" t="s">
        <v>235</v>
      </c>
      <c r="D108" s="14">
        <f>SUM(E108:H108)</f>
        <v>29880</v>
      </c>
      <c r="E108" s="14"/>
      <c r="F108" s="14">
        <v>29880</v>
      </c>
      <c r="G108" s="14"/>
      <c r="H108" s="14"/>
    </row>
    <row r="109" spans="1:8" ht="19.5" customHeight="1">
      <c r="A109" s="5"/>
      <c r="B109" s="399"/>
      <c r="C109" s="406"/>
      <c r="D109" s="15">
        <f>SUM(E109:H109)</f>
        <v>990</v>
      </c>
      <c r="E109" s="15"/>
      <c r="F109" s="15"/>
      <c r="G109" s="15">
        <v>990</v>
      </c>
      <c r="H109" s="15"/>
    </row>
    <row r="110" spans="1:10" s="190" customFormat="1" ht="19.5" customHeight="1">
      <c r="A110" s="13"/>
      <c r="B110" s="13"/>
      <c r="C110" s="218" t="s">
        <v>438</v>
      </c>
      <c r="D110" s="301">
        <f aca="true" t="shared" si="3" ref="D110:D188">SUM(E110:H110)</f>
        <v>2755858</v>
      </c>
      <c r="E110" s="301">
        <f>773200</f>
        <v>773200</v>
      </c>
      <c r="F110" s="301">
        <f>877628</f>
        <v>877628</v>
      </c>
      <c r="G110" s="301">
        <f>656679+G113+G115</f>
        <v>659251</v>
      </c>
      <c r="H110" s="301">
        <f>445779</f>
        <v>445779</v>
      </c>
      <c r="I110" s="216"/>
      <c r="J110" s="216"/>
    </row>
    <row r="111" spans="1:10" s="190" customFormat="1" ht="19.5" customHeight="1" thickBot="1">
      <c r="A111" s="29"/>
      <c r="B111" s="29"/>
      <c r="C111" s="74" t="s">
        <v>334</v>
      </c>
      <c r="D111" s="75">
        <f t="shared" si="3"/>
        <v>7000</v>
      </c>
      <c r="E111" s="75"/>
      <c r="F111" s="75">
        <f>4428</f>
        <v>4428</v>
      </c>
      <c r="G111" s="75">
        <f>G113+G115</f>
        <v>2572</v>
      </c>
      <c r="H111" s="75"/>
      <c r="I111" s="216"/>
      <c r="J111" s="216"/>
    </row>
    <row r="112" spans="1:10" s="190" customFormat="1" ht="21" customHeight="1" thickTop="1">
      <c r="A112" s="8">
        <v>801</v>
      </c>
      <c r="B112" s="8"/>
      <c r="C112" s="8" t="s">
        <v>262</v>
      </c>
      <c r="D112" s="9">
        <f t="shared" si="3"/>
        <v>7000</v>
      </c>
      <c r="E112" s="9"/>
      <c r="F112" s="9">
        <f>4428</f>
        <v>4428</v>
      </c>
      <c r="G112" s="9">
        <f>G113+G115</f>
        <v>2572</v>
      </c>
      <c r="H112" s="9"/>
      <c r="I112" s="216"/>
      <c r="J112" s="216"/>
    </row>
    <row r="113" spans="1:10" s="190" customFormat="1" ht="21" customHeight="1">
      <c r="A113" s="85"/>
      <c r="B113" s="532">
        <v>80145</v>
      </c>
      <c r="C113" s="532" t="s">
        <v>206</v>
      </c>
      <c r="D113" s="292">
        <f t="shared" si="3"/>
        <v>955</v>
      </c>
      <c r="E113" s="292"/>
      <c r="F113" s="292"/>
      <c r="G113" s="292">
        <v>955</v>
      </c>
      <c r="H113" s="292"/>
      <c r="I113" s="216"/>
      <c r="J113" s="216"/>
    </row>
    <row r="114" spans="1:8" ht="21" customHeight="1">
      <c r="A114" s="4"/>
      <c r="B114" s="398">
        <v>80195</v>
      </c>
      <c r="C114" s="405" t="s">
        <v>235</v>
      </c>
      <c r="D114" s="14">
        <f>SUM(E114:H114)</f>
        <v>4428</v>
      </c>
      <c r="E114" s="14"/>
      <c r="F114" s="14">
        <v>4428</v>
      </c>
      <c r="G114" s="14"/>
      <c r="H114" s="14"/>
    </row>
    <row r="115" spans="1:8" ht="21" customHeight="1">
      <c r="A115" s="4"/>
      <c r="B115" s="399"/>
      <c r="C115" s="406"/>
      <c r="D115" s="15">
        <f>SUM(E115:H115)</f>
        <v>1617</v>
      </c>
      <c r="E115" s="15"/>
      <c r="F115" s="15"/>
      <c r="G115" s="15">
        <v>1617</v>
      </c>
      <c r="H115" s="15"/>
    </row>
    <row r="116" spans="1:10" s="190" customFormat="1" ht="19.5" customHeight="1">
      <c r="A116" s="13"/>
      <c r="B116" s="13"/>
      <c r="C116" s="218" t="s">
        <v>439</v>
      </c>
      <c r="D116" s="301">
        <f t="shared" si="3"/>
        <v>300457642</v>
      </c>
      <c r="E116" s="301">
        <f>78399803</f>
        <v>78399803</v>
      </c>
      <c r="F116" s="301">
        <f>102732987+F120+F122+F124+F126+F128+F130+F132+F134+F137+F139+F141+F143+F145+F147+F150+F152+F154+F156+F159+F161+F163+F165+F167+F169+F171+F173+F175+F177+F179+F182+F186+F191</f>
        <v>86369851</v>
      </c>
      <c r="G116" s="301">
        <f>63524217+G120+G122+G124+G126+G128+G130+G132+G134+G137+G139+G141+G143+G145+G147+G150+G152+G154+G156+G159+G161+G163+G165+G167+G169+G171+G173+G175+G177+G179+G182+G186+G191</f>
        <v>80661639</v>
      </c>
      <c r="H116" s="301">
        <f>55026349</f>
        <v>55026349</v>
      </c>
      <c r="I116" s="216"/>
      <c r="J116" s="216"/>
    </row>
    <row r="117" spans="1:10" s="190" customFormat="1" ht="19.5" customHeight="1" thickBot="1">
      <c r="A117" s="29"/>
      <c r="B117" s="29"/>
      <c r="C117" s="6" t="s">
        <v>334</v>
      </c>
      <c r="D117" s="75">
        <f t="shared" si="3"/>
        <v>300405272</v>
      </c>
      <c r="E117" s="75">
        <f>78399599</f>
        <v>78399599</v>
      </c>
      <c r="F117" s="75">
        <f>102681871+F120+F122+F124+F126+F128+F130+F132+F134+F137+F139+F141+F143+F145+F147+F150+F152+F154+F156+F159+F161+F163+F165+F167+F169+F171+F173+F175+F177+F179+F182</f>
        <v>86323818</v>
      </c>
      <c r="G117" s="75">
        <f>63523692+G120+G122+G124+G126+G128+G130+G132+G134+G137+G139+G141+G143+G145+G147+G150+G152+G154+G156+G159+G161+G163+G165+G167+G169+G171+G173+G175+G177+G179+G182</f>
        <v>80656031</v>
      </c>
      <c r="H117" s="75">
        <f>55025824</f>
        <v>55025824</v>
      </c>
      <c r="I117" s="216"/>
      <c r="J117" s="216"/>
    </row>
    <row r="118" spans="1:10" s="190" customFormat="1" ht="21" customHeight="1" thickTop="1">
      <c r="A118" s="8">
        <v>801</v>
      </c>
      <c r="B118" s="8"/>
      <c r="C118" s="8" t="s">
        <v>262</v>
      </c>
      <c r="D118" s="9">
        <f t="shared" si="3"/>
        <v>223876897</v>
      </c>
      <c r="E118" s="9">
        <f>58775113</f>
        <v>58775113</v>
      </c>
      <c r="F118" s="9">
        <f>77190939+F120+F122+F124+F126+F128+F130+F132+F134+F137+F139+F141+F143+F145+F147</f>
        <v>64341131</v>
      </c>
      <c r="G118" s="9">
        <f>46550800+G120+G122+G124+G126+G128+G130+G132+G134+G137+G139+G141+G143+G145+G147</f>
        <v>60024811</v>
      </c>
      <c r="H118" s="9">
        <f>40735842</f>
        <v>40735842</v>
      </c>
      <c r="I118" s="216"/>
      <c r="J118" s="216"/>
    </row>
    <row r="119" spans="1:10" s="190" customFormat="1" ht="21" customHeight="1">
      <c r="A119" s="4"/>
      <c r="B119" s="477">
        <v>80101</v>
      </c>
      <c r="C119" s="477" t="s">
        <v>450</v>
      </c>
      <c r="D119" s="302">
        <f t="shared" si="3"/>
        <v>76884035</v>
      </c>
      <c r="E119" s="302">
        <v>20492670</v>
      </c>
      <c r="F119" s="302">
        <v>24553484</v>
      </c>
      <c r="G119" s="302">
        <v>15815000</v>
      </c>
      <c r="H119" s="302">
        <v>16022881</v>
      </c>
      <c r="I119" s="216"/>
      <c r="J119" s="216"/>
    </row>
    <row r="120" spans="1:10" s="190" customFormat="1" ht="21" customHeight="1">
      <c r="A120" s="4"/>
      <c r="B120" s="5"/>
      <c r="C120" s="5"/>
      <c r="D120" s="303">
        <f t="shared" si="3"/>
        <v>152800</v>
      </c>
      <c r="E120" s="303"/>
      <c r="F120" s="303">
        <v>-2731495</v>
      </c>
      <c r="G120" s="303">
        <f>2834295+50000</f>
        <v>2884295</v>
      </c>
      <c r="H120" s="303"/>
      <c r="I120" s="216"/>
      <c r="J120" s="216"/>
    </row>
    <row r="121" spans="1:10" s="190" customFormat="1" ht="21" customHeight="1">
      <c r="A121" s="4"/>
      <c r="B121" s="477">
        <v>80102</v>
      </c>
      <c r="C121" s="477" t="s">
        <v>108</v>
      </c>
      <c r="D121" s="302">
        <f t="shared" si="3"/>
        <v>5735000</v>
      </c>
      <c r="E121" s="302">
        <v>1481840</v>
      </c>
      <c r="F121" s="302">
        <v>2253160</v>
      </c>
      <c r="G121" s="302">
        <v>1000000</v>
      </c>
      <c r="H121" s="302">
        <v>1000000</v>
      </c>
      <c r="I121" s="216"/>
      <c r="J121" s="216"/>
    </row>
    <row r="122" spans="1:10" s="190" customFormat="1" ht="21" customHeight="1">
      <c r="A122" s="4"/>
      <c r="B122" s="5"/>
      <c r="C122" s="5"/>
      <c r="D122" s="303">
        <f t="shared" si="3"/>
        <v>0</v>
      </c>
      <c r="E122" s="303"/>
      <c r="F122" s="303">
        <v>-526218</v>
      </c>
      <c r="G122" s="303">
        <v>526218</v>
      </c>
      <c r="H122" s="303"/>
      <c r="I122" s="216"/>
      <c r="J122" s="216"/>
    </row>
    <row r="123" spans="1:10" s="190" customFormat="1" ht="21" customHeight="1">
      <c r="A123" s="4"/>
      <c r="B123" s="477">
        <v>80104</v>
      </c>
      <c r="C123" s="477" t="s">
        <v>109</v>
      </c>
      <c r="D123" s="302">
        <f t="shared" si="3"/>
        <v>1235547</v>
      </c>
      <c r="E123" s="302">
        <v>314404</v>
      </c>
      <c r="F123" s="302">
        <v>495286</v>
      </c>
      <c r="G123" s="302">
        <v>225000</v>
      </c>
      <c r="H123" s="302">
        <v>200857</v>
      </c>
      <c r="I123" s="216"/>
      <c r="J123" s="216"/>
    </row>
    <row r="124" spans="1:10" s="190" customFormat="1" ht="21" customHeight="1">
      <c r="A124" s="4"/>
      <c r="B124" s="5"/>
      <c r="C124" s="5"/>
      <c r="D124" s="303">
        <f t="shared" si="3"/>
        <v>0</v>
      </c>
      <c r="E124" s="303"/>
      <c r="F124" s="303">
        <v>-149378</v>
      </c>
      <c r="G124" s="303">
        <v>149378</v>
      </c>
      <c r="H124" s="303"/>
      <c r="I124" s="216"/>
      <c r="J124" s="216"/>
    </row>
    <row r="125" spans="1:10" s="190" customFormat="1" ht="21" customHeight="1">
      <c r="A125" s="4"/>
      <c r="B125" s="477">
        <v>80110</v>
      </c>
      <c r="C125" s="477" t="s">
        <v>110</v>
      </c>
      <c r="D125" s="302">
        <f t="shared" si="3"/>
        <v>41612245</v>
      </c>
      <c r="E125" s="302">
        <v>11373152</v>
      </c>
      <c r="F125" s="302">
        <v>13877427</v>
      </c>
      <c r="G125" s="302">
        <v>9200000</v>
      </c>
      <c r="H125" s="302">
        <v>7161666</v>
      </c>
      <c r="I125" s="216"/>
      <c r="J125" s="216"/>
    </row>
    <row r="126" spans="1:10" s="190" customFormat="1" ht="21" customHeight="1">
      <c r="A126" s="4"/>
      <c r="B126" s="5"/>
      <c r="C126" s="5"/>
      <c r="D126" s="303">
        <f t="shared" si="3"/>
        <v>13239</v>
      </c>
      <c r="E126" s="303"/>
      <c r="F126" s="303">
        <v>-2043948</v>
      </c>
      <c r="G126" s="303">
        <f>2043948+13239</f>
        <v>2057187</v>
      </c>
      <c r="H126" s="303"/>
      <c r="I126" s="216"/>
      <c r="J126" s="216"/>
    </row>
    <row r="127" spans="1:10" s="190" customFormat="1" ht="21" customHeight="1">
      <c r="A127" s="4"/>
      <c r="B127" s="477">
        <v>80111</v>
      </c>
      <c r="C127" s="477" t="s">
        <v>111</v>
      </c>
      <c r="D127" s="302">
        <f t="shared" si="3"/>
        <v>3051615</v>
      </c>
      <c r="E127" s="302">
        <v>825987</v>
      </c>
      <c r="F127" s="302">
        <v>1294013</v>
      </c>
      <c r="G127" s="302">
        <v>588000</v>
      </c>
      <c r="H127" s="302">
        <v>343615</v>
      </c>
      <c r="I127" s="216"/>
      <c r="J127" s="216"/>
    </row>
    <row r="128" spans="1:10" s="190" customFormat="1" ht="21" customHeight="1">
      <c r="A128" s="4"/>
      <c r="B128" s="5"/>
      <c r="C128" s="5"/>
      <c r="D128" s="303">
        <f t="shared" si="3"/>
        <v>0</v>
      </c>
      <c r="E128" s="303"/>
      <c r="F128" s="303">
        <v>-312439</v>
      </c>
      <c r="G128" s="303">
        <v>312439</v>
      </c>
      <c r="H128" s="303"/>
      <c r="I128" s="216"/>
      <c r="J128" s="216"/>
    </row>
    <row r="129" spans="1:10" s="190" customFormat="1" ht="21" customHeight="1">
      <c r="A129" s="4"/>
      <c r="B129" s="477">
        <v>80113</v>
      </c>
      <c r="C129" s="477" t="s">
        <v>112</v>
      </c>
      <c r="D129" s="302">
        <f t="shared" si="3"/>
        <v>248800</v>
      </c>
      <c r="E129" s="302">
        <v>79410</v>
      </c>
      <c r="F129" s="302">
        <v>122590</v>
      </c>
      <c r="G129" s="302">
        <v>22800</v>
      </c>
      <c r="H129" s="302">
        <v>24000</v>
      </c>
      <c r="I129" s="216"/>
      <c r="J129" s="216"/>
    </row>
    <row r="130" spans="1:10" s="190" customFormat="1" ht="21" customHeight="1">
      <c r="A130" s="4"/>
      <c r="B130" s="5"/>
      <c r="C130" s="5"/>
      <c r="D130" s="303">
        <f t="shared" si="3"/>
        <v>0</v>
      </c>
      <c r="E130" s="303"/>
      <c r="F130" s="303">
        <v>-54295</v>
      </c>
      <c r="G130" s="303">
        <v>54295</v>
      </c>
      <c r="H130" s="303"/>
      <c r="I130" s="216"/>
      <c r="J130" s="216"/>
    </row>
    <row r="131" spans="1:10" s="190" customFormat="1" ht="21" customHeight="1">
      <c r="A131" s="4"/>
      <c r="B131" s="477">
        <v>80120</v>
      </c>
      <c r="C131" s="477" t="s">
        <v>453</v>
      </c>
      <c r="D131" s="302">
        <f t="shared" si="3"/>
        <v>32669475</v>
      </c>
      <c r="E131" s="302">
        <v>8783912</v>
      </c>
      <c r="F131" s="302">
        <v>12628763</v>
      </c>
      <c r="G131" s="302">
        <v>6000000</v>
      </c>
      <c r="H131" s="302">
        <v>5256800</v>
      </c>
      <c r="I131" s="216"/>
      <c r="J131" s="216"/>
    </row>
    <row r="132" spans="1:10" s="190" customFormat="1" ht="21" customHeight="1">
      <c r="A132" s="4"/>
      <c r="B132" s="5"/>
      <c r="C132" s="5"/>
      <c r="D132" s="303">
        <f t="shared" si="3"/>
        <v>8000</v>
      </c>
      <c r="E132" s="303"/>
      <c r="F132" s="303">
        <v>-2886530</v>
      </c>
      <c r="G132" s="303">
        <v>2894530</v>
      </c>
      <c r="H132" s="303"/>
      <c r="I132" s="216"/>
      <c r="J132" s="216"/>
    </row>
    <row r="133" spans="1:10" s="190" customFormat="1" ht="21" customHeight="1">
      <c r="A133" s="4"/>
      <c r="B133" s="477">
        <v>80121</v>
      </c>
      <c r="C133" s="477" t="s">
        <v>113</v>
      </c>
      <c r="D133" s="302">
        <f t="shared" si="3"/>
        <v>1131436</v>
      </c>
      <c r="E133" s="302">
        <v>319636</v>
      </c>
      <c r="F133" s="302">
        <v>468364</v>
      </c>
      <c r="G133" s="302">
        <v>200000</v>
      </c>
      <c r="H133" s="302">
        <v>143436</v>
      </c>
      <c r="I133" s="216"/>
      <c r="J133" s="216"/>
    </row>
    <row r="134" spans="1:10" s="190" customFormat="1" ht="21" customHeight="1">
      <c r="A134" s="4"/>
      <c r="B134" s="4"/>
      <c r="C134" s="4"/>
      <c r="D134" s="713">
        <f t="shared" si="3"/>
        <v>0</v>
      </c>
      <c r="E134" s="713"/>
      <c r="F134" s="713">
        <v>-112308</v>
      </c>
      <c r="G134" s="713">
        <v>112308</v>
      </c>
      <c r="H134" s="713"/>
      <c r="I134" s="216"/>
      <c r="J134" s="216"/>
    </row>
    <row r="135" spans="1:10" s="190" customFormat="1" ht="21" customHeight="1">
      <c r="A135" s="714"/>
      <c r="B135" s="714"/>
      <c r="C135" s="714"/>
      <c r="D135" s="715"/>
      <c r="E135" s="715"/>
      <c r="F135" s="715"/>
      <c r="G135" s="715"/>
      <c r="H135" s="715"/>
      <c r="I135" s="216"/>
      <c r="J135" s="216"/>
    </row>
    <row r="136" spans="1:10" s="190" customFormat="1" ht="21" customHeight="1">
      <c r="A136" s="4"/>
      <c r="B136" s="4">
        <v>80123</v>
      </c>
      <c r="C136" s="4" t="s">
        <v>456</v>
      </c>
      <c r="D136" s="14">
        <f t="shared" si="3"/>
        <v>3108330</v>
      </c>
      <c r="E136" s="14">
        <v>747292</v>
      </c>
      <c r="F136" s="14">
        <v>1199708</v>
      </c>
      <c r="G136" s="14">
        <v>600000</v>
      </c>
      <c r="H136" s="14">
        <v>561330</v>
      </c>
      <c r="I136" s="216"/>
      <c r="J136" s="216"/>
    </row>
    <row r="137" spans="1:10" s="190" customFormat="1" ht="21" customHeight="1">
      <c r="A137" s="4"/>
      <c r="B137" s="5"/>
      <c r="C137" s="5"/>
      <c r="D137" s="303">
        <f t="shared" si="3"/>
        <v>209160</v>
      </c>
      <c r="E137" s="303"/>
      <c r="F137" s="303">
        <v>-313541</v>
      </c>
      <c r="G137" s="303">
        <v>522701</v>
      </c>
      <c r="H137" s="303"/>
      <c r="I137" s="216"/>
      <c r="J137" s="216"/>
    </row>
    <row r="138" spans="1:10" s="190" customFormat="1" ht="21" customHeight="1">
      <c r="A138" s="4"/>
      <c r="B138" s="477">
        <v>80130</v>
      </c>
      <c r="C138" s="477" t="s">
        <v>445</v>
      </c>
      <c r="D138" s="302">
        <f t="shared" si="3"/>
        <v>43608857</v>
      </c>
      <c r="E138" s="302">
        <v>10908910</v>
      </c>
      <c r="F138" s="302">
        <v>14215890</v>
      </c>
      <c r="G138" s="302">
        <v>10500000</v>
      </c>
      <c r="H138" s="302">
        <v>7984057</v>
      </c>
      <c r="I138" s="216"/>
      <c r="J138" s="216"/>
    </row>
    <row r="139" spans="1:10" s="190" customFormat="1" ht="21" customHeight="1">
      <c r="A139" s="4"/>
      <c r="B139" s="5"/>
      <c r="C139" s="5"/>
      <c r="D139" s="303">
        <f t="shared" si="3"/>
        <v>-114124</v>
      </c>
      <c r="E139" s="303"/>
      <c r="F139" s="303">
        <v>-2448864</v>
      </c>
      <c r="G139" s="303">
        <v>2334740</v>
      </c>
      <c r="H139" s="303"/>
      <c r="I139" s="216"/>
      <c r="J139" s="216"/>
    </row>
    <row r="140" spans="1:10" s="190" customFormat="1" ht="21" customHeight="1">
      <c r="A140" s="4"/>
      <c r="B140" s="477">
        <v>80134</v>
      </c>
      <c r="C140" s="477" t="s">
        <v>114</v>
      </c>
      <c r="D140" s="302">
        <f t="shared" si="3"/>
        <v>4137300</v>
      </c>
      <c r="E140" s="302">
        <v>1121545</v>
      </c>
      <c r="F140" s="302">
        <v>1528455</v>
      </c>
      <c r="G140" s="302">
        <v>850000</v>
      </c>
      <c r="H140" s="302">
        <v>637300</v>
      </c>
      <c r="I140" s="216"/>
      <c r="J140" s="216"/>
    </row>
    <row r="141" spans="1:10" s="190" customFormat="1" ht="21" customHeight="1">
      <c r="A141" s="4"/>
      <c r="B141" s="5"/>
      <c r="C141" s="5"/>
      <c r="D141" s="303">
        <f t="shared" si="3"/>
        <v>0</v>
      </c>
      <c r="E141" s="303"/>
      <c r="F141" s="303">
        <v>-349776</v>
      </c>
      <c r="G141" s="303">
        <v>349776</v>
      </c>
      <c r="H141" s="303"/>
      <c r="I141" s="216"/>
      <c r="J141" s="216"/>
    </row>
    <row r="142" spans="1:10" s="190" customFormat="1" ht="27.75" customHeight="1">
      <c r="A142" s="4"/>
      <c r="B142" s="477">
        <v>80140</v>
      </c>
      <c r="C142" s="675" t="s">
        <v>115</v>
      </c>
      <c r="D142" s="302">
        <f t="shared" si="3"/>
        <v>7655900</v>
      </c>
      <c r="E142" s="302">
        <v>2326355</v>
      </c>
      <c r="F142" s="302">
        <v>2679645</v>
      </c>
      <c r="G142" s="302">
        <v>1400000</v>
      </c>
      <c r="H142" s="302">
        <v>1249900</v>
      </c>
      <c r="I142" s="216"/>
      <c r="J142" s="216"/>
    </row>
    <row r="143" spans="1:10" s="190" customFormat="1" ht="21" customHeight="1">
      <c r="A143" s="4"/>
      <c r="B143" s="5"/>
      <c r="C143" s="5"/>
      <c r="D143" s="303">
        <f t="shared" si="3"/>
        <v>0</v>
      </c>
      <c r="E143" s="303"/>
      <c r="F143" s="303">
        <v>-427868</v>
      </c>
      <c r="G143" s="303">
        <v>427868</v>
      </c>
      <c r="H143" s="303"/>
      <c r="I143" s="216"/>
      <c r="J143" s="216"/>
    </row>
    <row r="144" spans="1:10" s="190" customFormat="1" ht="21" customHeight="1">
      <c r="A144" s="4"/>
      <c r="B144" s="477">
        <v>80146</v>
      </c>
      <c r="C144" s="477" t="s">
        <v>116</v>
      </c>
      <c r="D144" s="302">
        <f t="shared" si="3"/>
        <v>1200000</v>
      </c>
      <c r="E144" s="302"/>
      <c r="F144" s="302">
        <v>900000</v>
      </c>
      <c r="G144" s="302">
        <v>150000</v>
      </c>
      <c r="H144" s="302">
        <v>150000</v>
      </c>
      <c r="I144" s="216"/>
      <c r="J144" s="216"/>
    </row>
    <row r="145" spans="1:10" s="190" customFormat="1" ht="21" customHeight="1">
      <c r="A145" s="4"/>
      <c r="B145" s="5"/>
      <c r="C145" s="5"/>
      <c r="D145" s="303">
        <f t="shared" si="3"/>
        <v>0</v>
      </c>
      <c r="E145" s="303"/>
      <c r="F145" s="303">
        <v>-484952</v>
      </c>
      <c r="G145" s="303">
        <v>484952</v>
      </c>
      <c r="H145" s="303"/>
      <c r="I145" s="216"/>
      <c r="J145" s="216"/>
    </row>
    <row r="146" spans="1:10" s="190" customFormat="1" ht="21" customHeight="1">
      <c r="A146" s="4"/>
      <c r="B146" s="477">
        <v>80195</v>
      </c>
      <c r="C146" s="477" t="s">
        <v>235</v>
      </c>
      <c r="D146" s="302">
        <f t="shared" si="3"/>
        <v>974154</v>
      </c>
      <c r="E146" s="302"/>
      <c r="F146" s="302">
        <v>974154</v>
      </c>
      <c r="G146" s="302"/>
      <c r="H146" s="302"/>
      <c r="I146" s="216"/>
      <c r="J146" s="216"/>
    </row>
    <row r="147" spans="1:10" s="190" customFormat="1" ht="21" customHeight="1">
      <c r="A147" s="5"/>
      <c r="B147" s="5"/>
      <c r="C147" s="5"/>
      <c r="D147" s="303">
        <f t="shared" si="3"/>
        <v>355128</v>
      </c>
      <c r="E147" s="303"/>
      <c r="F147" s="303">
        <v>-8196</v>
      </c>
      <c r="G147" s="303">
        <v>363324</v>
      </c>
      <c r="H147" s="303"/>
      <c r="I147" s="216"/>
      <c r="J147" s="216"/>
    </row>
    <row r="148" spans="1:10" s="190" customFormat="1" ht="21" customHeight="1">
      <c r="A148" s="8">
        <v>851</v>
      </c>
      <c r="B148" s="8"/>
      <c r="C148" s="8" t="s">
        <v>337</v>
      </c>
      <c r="D148" s="9">
        <f t="shared" si="3"/>
        <v>790032</v>
      </c>
      <c r="E148" s="9">
        <v>1383</v>
      </c>
      <c r="F148" s="9">
        <f>436411+F150+F152+F154+F156</f>
        <v>253777</v>
      </c>
      <c r="G148" s="9">
        <f>196821+G150+G152+G154+G156</f>
        <v>388455</v>
      </c>
      <c r="H148" s="9">
        <f>146417</f>
        <v>146417</v>
      </c>
      <c r="I148" s="216"/>
      <c r="J148" s="216"/>
    </row>
    <row r="149" spans="1:10" s="190" customFormat="1" ht="21" customHeight="1">
      <c r="A149" s="4"/>
      <c r="B149" s="477">
        <v>85149</v>
      </c>
      <c r="C149" s="477" t="s">
        <v>124</v>
      </c>
      <c r="D149" s="302">
        <f t="shared" si="3"/>
        <v>6000</v>
      </c>
      <c r="E149" s="302"/>
      <c r="F149" s="302">
        <v>6000</v>
      </c>
      <c r="G149" s="302"/>
      <c r="H149" s="302"/>
      <c r="I149" s="216"/>
      <c r="J149" s="216"/>
    </row>
    <row r="150" spans="1:10" s="190" customFormat="1" ht="21" customHeight="1">
      <c r="A150" s="4"/>
      <c r="B150" s="5"/>
      <c r="C150" s="5"/>
      <c r="D150" s="303">
        <f t="shared" si="3"/>
        <v>0</v>
      </c>
      <c r="E150" s="303"/>
      <c r="F150" s="303">
        <v>-141</v>
      </c>
      <c r="G150" s="303">
        <v>141</v>
      </c>
      <c r="H150" s="303"/>
      <c r="I150" s="216"/>
      <c r="J150" s="216"/>
    </row>
    <row r="151" spans="1:10" s="190" customFormat="1" ht="21" customHeight="1">
      <c r="A151" s="4"/>
      <c r="B151" s="477">
        <v>85153</v>
      </c>
      <c r="C151" s="477" t="s">
        <v>125</v>
      </c>
      <c r="D151" s="302">
        <f t="shared" si="3"/>
        <v>26000</v>
      </c>
      <c r="E151" s="302"/>
      <c r="F151" s="302">
        <v>8000</v>
      </c>
      <c r="G151" s="302">
        <v>13500</v>
      </c>
      <c r="H151" s="302">
        <v>4500</v>
      </c>
      <c r="I151" s="216"/>
      <c r="J151" s="216"/>
    </row>
    <row r="152" spans="1:10" s="190" customFormat="1" ht="21" customHeight="1">
      <c r="A152" s="4"/>
      <c r="B152" s="5"/>
      <c r="C152" s="5"/>
      <c r="D152" s="303">
        <f t="shared" si="3"/>
        <v>0</v>
      </c>
      <c r="E152" s="303"/>
      <c r="F152" s="303">
        <v>-5699</v>
      </c>
      <c r="G152" s="303">
        <v>5699</v>
      </c>
      <c r="H152" s="303"/>
      <c r="I152" s="216"/>
      <c r="J152" s="216"/>
    </row>
    <row r="153" spans="1:10" s="190" customFormat="1" ht="21" customHeight="1">
      <c r="A153" s="4"/>
      <c r="B153" s="477">
        <v>85154</v>
      </c>
      <c r="C153" s="477" t="s">
        <v>359</v>
      </c>
      <c r="D153" s="302">
        <f t="shared" si="3"/>
        <v>630232</v>
      </c>
      <c r="E153" s="302">
        <v>1383</v>
      </c>
      <c r="F153" s="302">
        <v>353945</v>
      </c>
      <c r="G153" s="302">
        <v>159177</v>
      </c>
      <c r="H153" s="302">
        <v>115727</v>
      </c>
      <c r="I153" s="216"/>
      <c r="J153" s="216"/>
    </row>
    <row r="154" spans="1:10" s="190" customFormat="1" ht="21" customHeight="1">
      <c r="A154" s="4"/>
      <c r="B154" s="5"/>
      <c r="C154" s="5"/>
      <c r="D154" s="303">
        <f t="shared" si="3"/>
        <v>9000</v>
      </c>
      <c r="E154" s="303"/>
      <c r="F154" s="303">
        <v>-162908</v>
      </c>
      <c r="G154" s="303">
        <f>9000+162908</f>
        <v>171908</v>
      </c>
      <c r="H154" s="303"/>
      <c r="I154" s="216"/>
      <c r="J154" s="216"/>
    </row>
    <row r="155" spans="1:10" s="190" customFormat="1" ht="21" customHeight="1">
      <c r="A155" s="4"/>
      <c r="B155" s="477">
        <v>85195</v>
      </c>
      <c r="C155" s="477" t="s">
        <v>235</v>
      </c>
      <c r="D155" s="302">
        <f t="shared" si="3"/>
        <v>118800</v>
      </c>
      <c r="E155" s="302"/>
      <c r="F155" s="302">
        <v>68466</v>
      </c>
      <c r="G155" s="302">
        <v>24144</v>
      </c>
      <c r="H155" s="302">
        <v>26190</v>
      </c>
      <c r="I155" s="216"/>
      <c r="J155" s="216"/>
    </row>
    <row r="156" spans="1:10" s="190" customFormat="1" ht="21" customHeight="1">
      <c r="A156" s="5"/>
      <c r="B156" s="5"/>
      <c r="C156" s="5"/>
      <c r="D156" s="303">
        <f t="shared" si="3"/>
        <v>0</v>
      </c>
      <c r="E156" s="303"/>
      <c r="F156" s="303">
        <v>-13886</v>
      </c>
      <c r="G156" s="303">
        <v>13886</v>
      </c>
      <c r="H156" s="303"/>
      <c r="I156" s="216"/>
      <c r="J156" s="216"/>
    </row>
    <row r="157" spans="1:10" s="190" customFormat="1" ht="21" customHeight="1">
      <c r="A157" s="8">
        <v>854</v>
      </c>
      <c r="B157" s="8"/>
      <c r="C157" s="8" t="s">
        <v>280</v>
      </c>
      <c r="D157" s="9">
        <f t="shared" si="3"/>
        <v>75393175</v>
      </c>
      <c r="E157" s="9">
        <f>19586905</f>
        <v>19586905</v>
      </c>
      <c r="F157" s="9">
        <f>24745551+F159+F161+F163+F165+F167+F169+F171+F173+F175+F177+F179</f>
        <v>21495651</v>
      </c>
      <c r="G157" s="9">
        <f>16776071+G159+G161+G163+G165+G167+G169+G171+G173+G175+G177+G179</f>
        <v>20167054</v>
      </c>
      <c r="H157" s="9">
        <f>14143565</f>
        <v>14143565</v>
      </c>
      <c r="I157" s="216"/>
      <c r="J157" s="216"/>
    </row>
    <row r="158" spans="1:10" s="190" customFormat="1" ht="21" customHeight="1">
      <c r="A158" s="4"/>
      <c r="B158" s="477">
        <v>85401</v>
      </c>
      <c r="C158" s="477" t="s">
        <v>117</v>
      </c>
      <c r="D158" s="302">
        <f t="shared" si="3"/>
        <v>5249260</v>
      </c>
      <c r="E158" s="302">
        <v>1386700</v>
      </c>
      <c r="F158" s="302">
        <v>2045616</v>
      </c>
      <c r="G158" s="302">
        <v>1022000</v>
      </c>
      <c r="H158" s="302">
        <v>794944</v>
      </c>
      <c r="I158" s="216"/>
      <c r="J158" s="216"/>
    </row>
    <row r="159" spans="1:10" s="190" customFormat="1" ht="21" customHeight="1">
      <c r="A159" s="4"/>
      <c r="B159" s="5"/>
      <c r="C159" s="5"/>
      <c r="D159" s="303">
        <f t="shared" si="3"/>
        <v>0</v>
      </c>
      <c r="E159" s="303"/>
      <c r="F159" s="303">
        <v>-485480</v>
      </c>
      <c r="G159" s="303">
        <v>485480</v>
      </c>
      <c r="H159" s="303"/>
      <c r="I159" s="216"/>
      <c r="J159" s="216"/>
    </row>
    <row r="160" spans="1:10" s="190" customFormat="1" ht="21" customHeight="1">
      <c r="A160" s="4"/>
      <c r="B160" s="477">
        <v>85403</v>
      </c>
      <c r="C160" s="477" t="s">
        <v>107</v>
      </c>
      <c r="D160" s="302">
        <f t="shared" si="3"/>
        <v>6686953</v>
      </c>
      <c r="E160" s="302">
        <v>1892343</v>
      </c>
      <c r="F160" s="302">
        <v>2390974</v>
      </c>
      <c r="G160" s="302">
        <v>1450182</v>
      </c>
      <c r="H160" s="302">
        <v>953454</v>
      </c>
      <c r="I160" s="216"/>
      <c r="J160" s="216"/>
    </row>
    <row r="161" spans="1:10" s="190" customFormat="1" ht="21" customHeight="1">
      <c r="A161" s="5"/>
      <c r="B161" s="5"/>
      <c r="C161" s="5"/>
      <c r="D161" s="303">
        <f t="shared" si="3"/>
        <v>0</v>
      </c>
      <c r="E161" s="303"/>
      <c r="F161" s="303">
        <v>-443051</v>
      </c>
      <c r="G161" s="303">
        <v>443051</v>
      </c>
      <c r="H161" s="303"/>
      <c r="I161" s="216"/>
      <c r="J161" s="216"/>
    </row>
    <row r="162" spans="1:10" s="190" customFormat="1" ht="21" customHeight="1">
      <c r="A162" s="4"/>
      <c r="B162" s="477">
        <v>85404</v>
      </c>
      <c r="C162" s="477" t="s">
        <v>429</v>
      </c>
      <c r="D162" s="302">
        <f t="shared" si="3"/>
        <v>40454649</v>
      </c>
      <c r="E162" s="302">
        <v>10337160</v>
      </c>
      <c r="F162" s="302">
        <v>11562840</v>
      </c>
      <c r="G162" s="302">
        <v>10000000</v>
      </c>
      <c r="H162" s="302">
        <v>8554649</v>
      </c>
      <c r="I162" s="216"/>
      <c r="J162" s="216"/>
    </row>
    <row r="163" spans="1:10" s="190" customFormat="1" ht="21" customHeight="1">
      <c r="A163" s="4"/>
      <c r="B163" s="5"/>
      <c r="C163" s="5"/>
      <c r="D163" s="303">
        <f t="shared" si="3"/>
        <v>10000</v>
      </c>
      <c r="E163" s="303"/>
      <c r="F163" s="303">
        <v>-633437</v>
      </c>
      <c r="G163" s="303">
        <v>643437</v>
      </c>
      <c r="H163" s="303"/>
      <c r="I163" s="216"/>
      <c r="J163" s="216"/>
    </row>
    <row r="164" spans="1:10" s="190" customFormat="1" ht="21" customHeight="1">
      <c r="A164" s="4"/>
      <c r="B164" s="477">
        <v>85405</v>
      </c>
      <c r="C164" s="477" t="s">
        <v>118</v>
      </c>
      <c r="D164" s="302">
        <f t="shared" si="3"/>
        <v>1287000</v>
      </c>
      <c r="E164" s="302">
        <v>349108</v>
      </c>
      <c r="F164" s="302">
        <v>534392</v>
      </c>
      <c r="G164" s="302">
        <v>201750</v>
      </c>
      <c r="H164" s="302">
        <v>201750</v>
      </c>
      <c r="I164" s="216"/>
      <c r="J164" s="216"/>
    </row>
    <row r="165" spans="1:10" s="190" customFormat="1" ht="21" customHeight="1">
      <c r="A165" s="4"/>
      <c r="B165" s="5"/>
      <c r="C165" s="5"/>
      <c r="D165" s="303">
        <f t="shared" si="3"/>
        <v>0</v>
      </c>
      <c r="E165" s="303"/>
      <c r="F165" s="303">
        <v>-143634</v>
      </c>
      <c r="G165" s="303">
        <v>143634</v>
      </c>
      <c r="H165" s="303"/>
      <c r="I165" s="216"/>
      <c r="J165" s="216"/>
    </row>
    <row r="166" spans="1:10" s="190" customFormat="1" ht="26.25" customHeight="1">
      <c r="A166" s="4"/>
      <c r="B166" s="477">
        <v>85406</v>
      </c>
      <c r="C166" s="675" t="s">
        <v>119</v>
      </c>
      <c r="D166" s="302">
        <f t="shared" si="3"/>
        <v>4519500</v>
      </c>
      <c r="E166" s="302">
        <v>1189245</v>
      </c>
      <c r="F166" s="302">
        <v>1560755</v>
      </c>
      <c r="G166" s="302">
        <v>1000000</v>
      </c>
      <c r="H166" s="302">
        <v>769500</v>
      </c>
      <c r="I166" s="216"/>
      <c r="J166" s="216"/>
    </row>
    <row r="167" spans="1:10" s="190" customFormat="1" ht="21" customHeight="1">
      <c r="A167" s="4"/>
      <c r="B167" s="5"/>
      <c r="C167" s="5"/>
      <c r="D167" s="303">
        <f t="shared" si="3"/>
        <v>0</v>
      </c>
      <c r="E167" s="303"/>
      <c r="F167" s="303">
        <v>-244985</v>
      </c>
      <c r="G167" s="303">
        <v>244985</v>
      </c>
      <c r="H167" s="303"/>
      <c r="I167" s="216"/>
      <c r="J167" s="216"/>
    </row>
    <row r="168" spans="1:10" s="190" customFormat="1" ht="21" customHeight="1">
      <c r="A168" s="4"/>
      <c r="B168" s="477">
        <v>85407</v>
      </c>
      <c r="C168" s="477" t="s">
        <v>120</v>
      </c>
      <c r="D168" s="302">
        <f t="shared" si="3"/>
        <v>1942660</v>
      </c>
      <c r="E168" s="302">
        <v>544551</v>
      </c>
      <c r="F168" s="302">
        <v>696449</v>
      </c>
      <c r="G168" s="302">
        <v>370000</v>
      </c>
      <c r="H168" s="302">
        <v>331660</v>
      </c>
      <c r="I168" s="216"/>
      <c r="J168" s="216"/>
    </row>
    <row r="169" spans="1:10" s="190" customFormat="1" ht="21" customHeight="1">
      <c r="A169" s="4"/>
      <c r="B169" s="5"/>
      <c r="C169" s="5"/>
      <c r="D169" s="303">
        <f t="shared" si="3"/>
        <v>0</v>
      </c>
      <c r="E169" s="303"/>
      <c r="F169" s="303">
        <v>-134336</v>
      </c>
      <c r="G169" s="303">
        <v>134336</v>
      </c>
      <c r="H169" s="303"/>
      <c r="I169" s="216"/>
      <c r="J169" s="216"/>
    </row>
    <row r="170" spans="1:10" s="190" customFormat="1" ht="21" customHeight="1">
      <c r="A170" s="4"/>
      <c r="B170" s="477">
        <v>85410</v>
      </c>
      <c r="C170" s="477" t="s">
        <v>458</v>
      </c>
      <c r="D170" s="302">
        <f t="shared" si="3"/>
        <v>5804260</v>
      </c>
      <c r="E170" s="302">
        <v>1626558</v>
      </c>
      <c r="F170" s="302">
        <v>2201492</v>
      </c>
      <c r="G170" s="302">
        <v>1000000</v>
      </c>
      <c r="H170" s="302">
        <v>976210</v>
      </c>
      <c r="I170" s="216"/>
      <c r="J170" s="216"/>
    </row>
    <row r="171" spans="1:10" s="190" customFormat="1" ht="21" customHeight="1">
      <c r="A171" s="4"/>
      <c r="B171" s="5"/>
      <c r="C171" s="5"/>
      <c r="D171" s="303">
        <f t="shared" si="3"/>
        <v>30000</v>
      </c>
      <c r="E171" s="303"/>
      <c r="F171" s="303">
        <v>-484384</v>
      </c>
      <c r="G171" s="303">
        <v>514384</v>
      </c>
      <c r="H171" s="303"/>
      <c r="I171" s="216"/>
      <c r="J171" s="216"/>
    </row>
    <row r="172" spans="1:10" s="190" customFormat="1" ht="21" customHeight="1">
      <c r="A172" s="4"/>
      <c r="B172" s="477">
        <v>85415</v>
      </c>
      <c r="C172" s="477" t="s">
        <v>121</v>
      </c>
      <c r="D172" s="302">
        <f t="shared" si="3"/>
        <v>590929</v>
      </c>
      <c r="E172" s="302">
        <v>101300</v>
      </c>
      <c r="F172" s="302">
        <v>469629</v>
      </c>
      <c r="G172" s="302">
        <v>10000</v>
      </c>
      <c r="H172" s="302">
        <v>10000</v>
      </c>
      <c r="I172" s="216"/>
      <c r="J172" s="216"/>
    </row>
    <row r="173" spans="1:10" s="190" customFormat="1" ht="21" customHeight="1">
      <c r="A173" s="4"/>
      <c r="B173" s="5"/>
      <c r="C173" s="5"/>
      <c r="D173" s="303">
        <f t="shared" si="3"/>
        <v>0</v>
      </c>
      <c r="E173" s="303"/>
      <c r="F173" s="303">
        <v>-101870</v>
      </c>
      <c r="G173" s="303">
        <v>101870</v>
      </c>
      <c r="H173" s="303"/>
      <c r="I173" s="216"/>
      <c r="J173" s="216"/>
    </row>
    <row r="174" spans="1:10" s="190" customFormat="1" ht="21" customHeight="1">
      <c r="A174" s="4"/>
      <c r="B174" s="477">
        <v>85417</v>
      </c>
      <c r="C174" s="477" t="s">
        <v>459</v>
      </c>
      <c r="D174" s="302">
        <f t="shared" si="3"/>
        <v>224000</v>
      </c>
      <c r="E174" s="302">
        <v>61172</v>
      </c>
      <c r="F174" s="302">
        <v>90828</v>
      </c>
      <c r="G174" s="302">
        <v>44000</v>
      </c>
      <c r="H174" s="302">
        <v>28000</v>
      </c>
      <c r="I174" s="216"/>
      <c r="J174" s="216"/>
    </row>
    <row r="175" spans="1:10" s="190" customFormat="1" ht="21" customHeight="1">
      <c r="A175" s="4"/>
      <c r="B175" s="5"/>
      <c r="C175" s="5"/>
      <c r="D175" s="303">
        <f t="shared" si="3"/>
        <v>8000</v>
      </c>
      <c r="E175" s="303"/>
      <c r="F175" s="303">
        <v>-21199</v>
      </c>
      <c r="G175" s="303">
        <v>29199</v>
      </c>
      <c r="H175" s="303"/>
      <c r="I175" s="216"/>
      <c r="J175" s="216"/>
    </row>
    <row r="176" spans="1:10" s="190" customFormat="1" ht="21" customHeight="1">
      <c r="A176" s="4"/>
      <c r="B176" s="477">
        <v>85446</v>
      </c>
      <c r="C176" s="477" t="s">
        <v>116</v>
      </c>
      <c r="D176" s="302">
        <f t="shared" si="3"/>
        <v>312000</v>
      </c>
      <c r="E176" s="302"/>
      <c r="F176" s="302">
        <v>210098</v>
      </c>
      <c r="G176" s="302">
        <v>52000</v>
      </c>
      <c r="H176" s="302">
        <v>49902</v>
      </c>
      <c r="I176" s="216"/>
      <c r="J176" s="216"/>
    </row>
    <row r="177" spans="1:10" s="190" customFormat="1" ht="21" customHeight="1">
      <c r="A177" s="4"/>
      <c r="B177" s="5"/>
      <c r="C177" s="5"/>
      <c r="D177" s="303">
        <f t="shared" si="3"/>
        <v>0</v>
      </c>
      <c r="E177" s="303"/>
      <c r="F177" s="303">
        <v>-24121</v>
      </c>
      <c r="G177" s="303">
        <v>24121</v>
      </c>
      <c r="H177" s="303"/>
      <c r="I177" s="216"/>
      <c r="J177" s="216"/>
    </row>
    <row r="178" spans="1:10" s="190" customFormat="1" ht="21" customHeight="1">
      <c r="A178" s="4"/>
      <c r="B178" s="477">
        <v>85495</v>
      </c>
      <c r="C178" s="477" t="s">
        <v>235</v>
      </c>
      <c r="D178" s="302">
        <f t="shared" si="3"/>
        <v>8180881</v>
      </c>
      <c r="E178" s="302">
        <v>2098768</v>
      </c>
      <c r="F178" s="302">
        <v>2982478</v>
      </c>
      <c r="G178" s="302">
        <v>1626139</v>
      </c>
      <c r="H178" s="302">
        <v>1473496</v>
      </c>
      <c r="I178" s="216"/>
      <c r="J178" s="216"/>
    </row>
    <row r="179" spans="1:10" s="190" customFormat="1" ht="21" customHeight="1">
      <c r="A179" s="5"/>
      <c r="B179" s="5"/>
      <c r="C179" s="5"/>
      <c r="D179" s="303">
        <f t="shared" si="3"/>
        <v>93083</v>
      </c>
      <c r="E179" s="303"/>
      <c r="F179" s="303">
        <v>-533403</v>
      </c>
      <c r="G179" s="303">
        <f>572364+54122</f>
        <v>626486</v>
      </c>
      <c r="H179" s="303"/>
      <c r="I179" s="216"/>
      <c r="J179" s="216"/>
    </row>
    <row r="180" spans="1:10" s="190" customFormat="1" ht="21" customHeight="1">
      <c r="A180" s="8">
        <v>926</v>
      </c>
      <c r="B180" s="8"/>
      <c r="C180" s="8" t="s">
        <v>122</v>
      </c>
      <c r="D180" s="9">
        <f t="shared" si="3"/>
        <v>345168</v>
      </c>
      <c r="E180" s="9">
        <v>36198</v>
      </c>
      <c r="F180" s="9">
        <f>308970+F182</f>
        <v>233259</v>
      </c>
      <c r="G180" s="9">
        <f>G182</f>
        <v>75711</v>
      </c>
      <c r="H180" s="9"/>
      <c r="I180" s="216"/>
      <c r="J180" s="216"/>
    </row>
    <row r="181" spans="1:10" s="190" customFormat="1" ht="21" customHeight="1">
      <c r="A181" s="4"/>
      <c r="B181" s="477">
        <v>92605</v>
      </c>
      <c r="C181" s="477" t="s">
        <v>123</v>
      </c>
      <c r="D181" s="302">
        <f t="shared" si="3"/>
        <v>345168</v>
      </c>
      <c r="E181" s="302">
        <v>36198</v>
      </c>
      <c r="F181" s="302">
        <v>308970</v>
      </c>
      <c r="G181" s="302"/>
      <c r="H181" s="302"/>
      <c r="I181" s="216"/>
      <c r="J181" s="216"/>
    </row>
    <row r="182" spans="1:10" s="190" customFormat="1" ht="21" customHeight="1">
      <c r="A182" s="4"/>
      <c r="B182" s="5"/>
      <c r="C182" s="5"/>
      <c r="D182" s="303">
        <f t="shared" si="3"/>
        <v>0</v>
      </c>
      <c r="E182" s="303"/>
      <c r="F182" s="303">
        <v>-75711</v>
      </c>
      <c r="G182" s="303">
        <v>75711</v>
      </c>
      <c r="H182" s="303"/>
      <c r="I182" s="216"/>
      <c r="J182" s="216"/>
    </row>
    <row r="183" spans="1:10" s="190" customFormat="1" ht="19.5" customHeight="1" thickBot="1">
      <c r="A183" s="29"/>
      <c r="B183" s="29"/>
      <c r="C183" s="6" t="s">
        <v>291</v>
      </c>
      <c r="D183" s="75">
        <f t="shared" si="3"/>
        <v>50270</v>
      </c>
      <c r="E183" s="75"/>
      <c r="F183" s="75">
        <f>50270+F186</f>
        <v>45698</v>
      </c>
      <c r="G183" s="75">
        <f>G186</f>
        <v>4572</v>
      </c>
      <c r="H183" s="75"/>
      <c r="I183" s="216"/>
      <c r="J183" s="216"/>
    </row>
    <row r="184" spans="1:10" s="190" customFormat="1" ht="21" customHeight="1" thickTop="1">
      <c r="A184" s="8">
        <v>801</v>
      </c>
      <c r="B184" s="8"/>
      <c r="C184" s="8" t="s">
        <v>262</v>
      </c>
      <c r="D184" s="9">
        <f t="shared" si="3"/>
        <v>50270</v>
      </c>
      <c r="E184" s="9"/>
      <c r="F184" s="9">
        <f>50270+F186</f>
        <v>45698</v>
      </c>
      <c r="G184" s="9">
        <f>G186</f>
        <v>4572</v>
      </c>
      <c r="H184" s="9"/>
      <c r="I184" s="216"/>
      <c r="J184" s="216"/>
    </row>
    <row r="185" spans="1:10" s="190" customFormat="1" ht="21" customHeight="1">
      <c r="A185" s="4"/>
      <c r="B185" s="477">
        <v>80101</v>
      </c>
      <c r="C185" s="477" t="s">
        <v>450</v>
      </c>
      <c r="D185" s="302">
        <f t="shared" si="3"/>
        <v>50270</v>
      </c>
      <c r="E185" s="302"/>
      <c r="F185" s="302">
        <v>50270</v>
      </c>
      <c r="G185" s="302"/>
      <c r="H185" s="302"/>
      <c r="I185" s="216"/>
      <c r="J185" s="216"/>
    </row>
    <row r="186" spans="1:10" s="190" customFormat="1" ht="21" customHeight="1">
      <c r="A186" s="4"/>
      <c r="B186" s="4"/>
      <c r="C186" s="4"/>
      <c r="D186" s="713">
        <f t="shared" si="3"/>
        <v>0</v>
      </c>
      <c r="E186" s="713"/>
      <c r="F186" s="713">
        <v>-4572</v>
      </c>
      <c r="G186" s="713">
        <v>4572</v>
      </c>
      <c r="H186" s="713"/>
      <c r="I186" s="216"/>
      <c r="J186" s="216"/>
    </row>
    <row r="187" spans="1:10" s="190" customFormat="1" ht="21" customHeight="1">
      <c r="A187" s="714"/>
      <c r="B187" s="714"/>
      <c r="C187" s="714"/>
      <c r="D187" s="715"/>
      <c r="E187" s="715"/>
      <c r="F187" s="715"/>
      <c r="G187" s="715"/>
      <c r="H187" s="715"/>
      <c r="I187" s="216"/>
      <c r="J187" s="216"/>
    </row>
    <row r="188" spans="1:10" s="190" customFormat="1" ht="27.75" customHeight="1" thickBot="1">
      <c r="A188" s="29"/>
      <c r="B188" s="29"/>
      <c r="C188" s="74" t="s">
        <v>292</v>
      </c>
      <c r="D188" s="75">
        <f t="shared" si="3"/>
        <v>2100</v>
      </c>
      <c r="E188" s="75">
        <v>204</v>
      </c>
      <c r="F188" s="75">
        <f>846+F191</f>
        <v>335</v>
      </c>
      <c r="G188" s="75">
        <f>525+G191</f>
        <v>1036</v>
      </c>
      <c r="H188" s="75">
        <f>525</f>
        <v>525</v>
      </c>
      <c r="I188" s="216"/>
      <c r="J188" s="216"/>
    </row>
    <row r="189" spans="1:10" s="190" customFormat="1" ht="21" customHeight="1" thickTop="1">
      <c r="A189" s="8">
        <v>851</v>
      </c>
      <c r="B189" s="8"/>
      <c r="C189" s="8" t="s">
        <v>337</v>
      </c>
      <c r="D189" s="9">
        <f>SUM(E189:H189)</f>
        <v>2100</v>
      </c>
      <c r="E189" s="9">
        <v>204</v>
      </c>
      <c r="F189" s="9">
        <f>846+F191</f>
        <v>335</v>
      </c>
      <c r="G189" s="9">
        <f>525+G191</f>
        <v>1036</v>
      </c>
      <c r="H189" s="9">
        <v>525</v>
      </c>
      <c r="I189" s="216"/>
      <c r="J189" s="216"/>
    </row>
    <row r="190" spans="1:10" s="190" customFormat="1" ht="27.75" customHeight="1">
      <c r="A190" s="4"/>
      <c r="B190" s="477">
        <v>85156</v>
      </c>
      <c r="C190" s="675" t="s">
        <v>126</v>
      </c>
      <c r="D190" s="302">
        <f>SUM(E190:H190)</f>
        <v>2100</v>
      </c>
      <c r="E190" s="302">
        <v>204</v>
      </c>
      <c r="F190" s="302">
        <v>846</v>
      </c>
      <c r="G190" s="302">
        <v>525</v>
      </c>
      <c r="H190" s="302">
        <v>525</v>
      </c>
      <c r="I190" s="216"/>
      <c r="J190" s="216"/>
    </row>
    <row r="191" spans="1:10" s="190" customFormat="1" ht="21" customHeight="1">
      <c r="A191" s="5"/>
      <c r="B191" s="5"/>
      <c r="C191" s="5"/>
      <c r="D191" s="303">
        <f>SUM(E191:H191)</f>
        <v>0</v>
      </c>
      <c r="E191" s="303"/>
      <c r="F191" s="303">
        <v>-511</v>
      </c>
      <c r="G191" s="303">
        <v>511</v>
      </c>
      <c r="H191" s="303"/>
      <c r="I191" s="216"/>
      <c r="J191" s="216"/>
    </row>
  </sheetData>
  <mergeCells count="1">
    <mergeCell ref="D7:D8"/>
  </mergeCells>
  <printOptions horizontalCentered="1"/>
  <pageMargins left="0.3937007874015748" right="0.3937007874015748" top="0.5905511811023623" bottom="0.7874015748031497" header="0.5118110236220472" footer="0.5118110236220472"/>
  <pageSetup firstPageNumber="53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75" zoomScaleNormal="75" workbookViewId="0" topLeftCell="A1">
      <selection activeCell="F7" sqref="F7"/>
    </sheetView>
  </sheetViews>
  <sheetFormatPr defaultColWidth="9.00390625" defaultRowHeight="12.75"/>
  <cols>
    <col min="1" max="1" width="5.25390625" style="27" customWidth="1"/>
    <col min="2" max="2" width="7.75390625" style="27" customWidth="1"/>
    <col min="3" max="3" width="53.375" style="27" customWidth="1"/>
    <col min="4" max="4" width="18.75390625" style="27" customWidth="1"/>
    <col min="5" max="6" width="14.75390625" style="27" customWidth="1"/>
    <col min="7" max="7" width="18.75390625" style="27" customWidth="1"/>
    <col min="8" max="8" width="11.875" style="27" customWidth="1"/>
    <col min="9" max="9" width="12.375" style="27" customWidth="1"/>
    <col min="10" max="10" width="9.125" style="27" customWidth="1"/>
    <col min="11" max="11" width="11.00390625" style="27" customWidth="1"/>
    <col min="12" max="16384" width="9.125" style="27" customWidth="1"/>
  </cols>
  <sheetData>
    <row r="1" ht="18" customHeight="1">
      <c r="F1" s="27" t="s">
        <v>225</v>
      </c>
    </row>
    <row r="2" ht="18" customHeight="1">
      <c r="F2" s="27" t="s">
        <v>834</v>
      </c>
    </row>
    <row r="3" ht="18" customHeight="1">
      <c r="F3" s="27" t="s">
        <v>246</v>
      </c>
    </row>
    <row r="4" spans="3:6" ht="18" customHeight="1">
      <c r="C4" s="24" t="s">
        <v>237</v>
      </c>
      <c r="F4" s="27" t="s">
        <v>833</v>
      </c>
    </row>
    <row r="5" ht="18.75" customHeight="1" thickBot="1">
      <c r="G5" s="93" t="s">
        <v>332</v>
      </c>
    </row>
    <row r="6" spans="1:7" ht="79.5" customHeight="1" thickBot="1" thickTop="1">
      <c r="A6" s="41" t="s">
        <v>328</v>
      </c>
      <c r="B6" s="41" t="s">
        <v>329</v>
      </c>
      <c r="C6" s="42" t="s">
        <v>238</v>
      </c>
      <c r="D6" s="42" t="s">
        <v>284</v>
      </c>
      <c r="E6" s="42" t="s">
        <v>214</v>
      </c>
      <c r="F6" s="42" t="s">
        <v>215</v>
      </c>
      <c r="G6" s="42" t="s">
        <v>227</v>
      </c>
    </row>
    <row r="7" spans="1:7" ht="15" customHeight="1" thickBot="1" thickTop="1">
      <c r="A7" s="25">
        <v>1</v>
      </c>
      <c r="B7" s="25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</row>
    <row r="8" spans="1:11" ht="19.5" customHeight="1" thickBot="1" thickTop="1">
      <c r="A8" s="34"/>
      <c r="B8" s="65"/>
      <c r="C8" s="66" t="s">
        <v>223</v>
      </c>
      <c r="D8" s="67">
        <v>666688246</v>
      </c>
      <c r="E8" s="67">
        <f>E10+E72+E73</f>
        <v>1344199</v>
      </c>
      <c r="F8" s="67">
        <f>F10+F72+F73</f>
        <v>1874397</v>
      </c>
      <c r="G8" s="67">
        <f>D8+F8-E8</f>
        <v>667218444</v>
      </c>
      <c r="H8" s="33">
        <f>F8-E8</f>
        <v>530198</v>
      </c>
      <c r="I8" s="33"/>
      <c r="J8" s="33"/>
      <c r="K8" s="33"/>
    </row>
    <row r="9" spans="1:9" ht="12.75" customHeight="1">
      <c r="A9" s="13"/>
      <c r="B9" s="13"/>
      <c r="C9" s="13" t="s">
        <v>224</v>
      </c>
      <c r="D9" s="68"/>
      <c r="E9" s="68"/>
      <c r="F9" s="68"/>
      <c r="G9" s="68"/>
      <c r="I9" s="69"/>
    </row>
    <row r="10" spans="1:11" ht="19.5" customHeight="1" thickBot="1">
      <c r="A10" s="70"/>
      <c r="B10" s="70"/>
      <c r="C10" s="6" t="s">
        <v>334</v>
      </c>
      <c r="D10" s="71">
        <v>609197619</v>
      </c>
      <c r="E10" s="71">
        <f>E11+E16+E26+E29+E54+E57+E66+E20</f>
        <v>871199</v>
      </c>
      <c r="F10" s="71">
        <f>F11+F16+F26+F29+F54+F57+F66+F20</f>
        <v>1569407</v>
      </c>
      <c r="G10" s="71">
        <f>D10+F10-E10</f>
        <v>609895827</v>
      </c>
      <c r="I10" s="33"/>
      <c r="K10" s="33"/>
    </row>
    <row r="11" spans="1:11" ht="19.5" customHeight="1" thickTop="1">
      <c r="A11" s="8">
        <v>710</v>
      </c>
      <c r="B11" s="8"/>
      <c r="C11" s="8" t="s">
        <v>415</v>
      </c>
      <c r="D11" s="105">
        <v>1964500</v>
      </c>
      <c r="E11" s="105">
        <f>E12+E14</f>
        <v>6000</v>
      </c>
      <c r="F11" s="105">
        <f>F12+F14</f>
        <v>6000</v>
      </c>
      <c r="G11" s="105">
        <f aca="true" t="shared" si="0" ref="G11:G41">D11+F11-E11</f>
        <v>1964500</v>
      </c>
      <c r="I11" s="33"/>
      <c r="K11" s="33"/>
    </row>
    <row r="12" spans="1:11" ht="19.5" customHeight="1">
      <c r="A12" s="13"/>
      <c r="B12" s="70">
        <v>71014</v>
      </c>
      <c r="C12" s="70" t="s">
        <v>416</v>
      </c>
      <c r="D12" s="244">
        <v>800000</v>
      </c>
      <c r="E12" s="244">
        <f>E13</f>
        <v>6000</v>
      </c>
      <c r="F12" s="244"/>
      <c r="G12" s="244">
        <f t="shared" si="0"/>
        <v>794000</v>
      </c>
      <c r="I12" s="33"/>
      <c r="K12" s="33"/>
    </row>
    <row r="13" spans="1:11" ht="26.25" customHeight="1">
      <c r="A13" s="13"/>
      <c r="B13" s="85"/>
      <c r="C13" s="83" t="s">
        <v>417</v>
      </c>
      <c r="D13" s="694">
        <v>800000</v>
      </c>
      <c r="E13" s="694">
        <v>6000</v>
      </c>
      <c r="F13" s="694"/>
      <c r="G13" s="694">
        <f t="shared" si="0"/>
        <v>794000</v>
      </c>
      <c r="I13" s="33"/>
      <c r="K13" s="33"/>
    </row>
    <row r="14" spans="1:11" ht="19.5" customHeight="1">
      <c r="A14" s="63"/>
      <c r="B14" s="453">
        <v>71095</v>
      </c>
      <c r="C14" s="167" t="s">
        <v>235</v>
      </c>
      <c r="D14" s="244"/>
      <c r="E14" s="244"/>
      <c r="F14" s="244">
        <f>F15</f>
        <v>6000</v>
      </c>
      <c r="G14" s="244">
        <f t="shared" si="0"/>
        <v>6000</v>
      </c>
      <c r="I14" s="33"/>
      <c r="K14" s="33"/>
    </row>
    <row r="15" spans="1:11" ht="19.5" customHeight="1">
      <c r="A15" s="368"/>
      <c r="B15" s="695"/>
      <c r="C15" s="83" t="s">
        <v>807</v>
      </c>
      <c r="D15" s="694"/>
      <c r="E15" s="694"/>
      <c r="F15" s="694">
        <v>6000</v>
      </c>
      <c r="G15" s="694">
        <f t="shared" si="0"/>
        <v>6000</v>
      </c>
      <c r="I15" s="33"/>
      <c r="K15" s="33"/>
    </row>
    <row r="16" spans="1:11" ht="19.5" customHeight="1">
      <c r="A16" s="8">
        <v>750</v>
      </c>
      <c r="B16" s="8"/>
      <c r="C16" s="8" t="s">
        <v>371</v>
      </c>
      <c r="D16" s="9">
        <v>45335000</v>
      </c>
      <c r="E16" s="9">
        <f>E17</f>
        <v>20000</v>
      </c>
      <c r="F16" s="9">
        <f>F17</f>
        <v>20000</v>
      </c>
      <c r="G16" s="9">
        <f t="shared" si="0"/>
        <v>45335000</v>
      </c>
      <c r="I16" s="33"/>
      <c r="K16" s="33"/>
    </row>
    <row r="17" spans="1:11" ht="19.5" customHeight="1">
      <c r="A17" s="13"/>
      <c r="B17" s="10">
        <v>75023</v>
      </c>
      <c r="C17" s="10" t="s">
        <v>372</v>
      </c>
      <c r="D17" s="145">
        <v>42880000</v>
      </c>
      <c r="E17" s="145">
        <f>E18+E19</f>
        <v>20000</v>
      </c>
      <c r="F17" s="145">
        <f>F18+F19</f>
        <v>20000</v>
      </c>
      <c r="G17" s="145">
        <f t="shared" si="0"/>
        <v>42880000</v>
      </c>
      <c r="I17" s="33"/>
      <c r="K17" s="33"/>
    </row>
    <row r="18" spans="1:11" ht="19.5" customHeight="1">
      <c r="A18" s="13"/>
      <c r="B18" s="85"/>
      <c r="C18" s="38" t="s">
        <v>304</v>
      </c>
      <c r="D18" s="100">
        <v>9415000</v>
      </c>
      <c r="E18" s="100"/>
      <c r="F18" s="100">
        <v>20000</v>
      </c>
      <c r="G18" s="100">
        <f t="shared" si="0"/>
        <v>9435000</v>
      </c>
      <c r="I18" s="33"/>
      <c r="K18" s="33"/>
    </row>
    <row r="19" spans="1:11" ht="19.5" customHeight="1">
      <c r="A19" s="13"/>
      <c r="B19" s="13"/>
      <c r="C19" s="696" t="s">
        <v>274</v>
      </c>
      <c r="D19" s="697">
        <v>585000</v>
      </c>
      <c r="E19" s="697">
        <v>20000</v>
      </c>
      <c r="F19" s="697"/>
      <c r="G19" s="697">
        <f t="shared" si="0"/>
        <v>565000</v>
      </c>
      <c r="I19" s="33"/>
      <c r="K19" s="33"/>
    </row>
    <row r="20" spans="1:11" ht="19.5" customHeight="1">
      <c r="A20" s="95">
        <v>754</v>
      </c>
      <c r="B20" s="95"/>
      <c r="C20" s="95" t="s">
        <v>127</v>
      </c>
      <c r="D20" s="340">
        <v>4521000</v>
      </c>
      <c r="E20" s="340">
        <f>E21+E24</f>
        <v>400000</v>
      </c>
      <c r="F20" s="340">
        <f>F21+F24</f>
        <v>400000</v>
      </c>
      <c r="G20" s="340">
        <f t="shared" si="0"/>
        <v>4521000</v>
      </c>
      <c r="I20" s="33"/>
      <c r="K20" s="33"/>
    </row>
    <row r="21" spans="1:11" ht="19.5" customHeight="1">
      <c r="A21" s="13"/>
      <c r="B21" s="10">
        <v>75405</v>
      </c>
      <c r="C21" s="10" t="s">
        <v>128</v>
      </c>
      <c r="D21" s="145">
        <v>400000</v>
      </c>
      <c r="E21" s="145">
        <f>E22</f>
        <v>400000</v>
      </c>
      <c r="F21" s="145"/>
      <c r="G21" s="145">
        <f t="shared" si="0"/>
        <v>0</v>
      </c>
      <c r="I21" s="33"/>
      <c r="K21" s="33"/>
    </row>
    <row r="22" spans="1:11" ht="26.25" customHeight="1">
      <c r="A22" s="13"/>
      <c r="B22" s="85"/>
      <c r="C22" s="86" t="s">
        <v>808</v>
      </c>
      <c r="D22" s="302">
        <v>400000</v>
      </c>
      <c r="E22" s="302">
        <v>400000</v>
      </c>
      <c r="F22" s="302"/>
      <c r="G22" s="302">
        <f t="shared" si="0"/>
        <v>0</v>
      </c>
      <c r="I22" s="33"/>
      <c r="K22" s="33"/>
    </row>
    <row r="23" spans="1:11" ht="19.5" customHeight="1">
      <c r="A23" s="558"/>
      <c r="B23" s="558"/>
      <c r="C23" s="703"/>
      <c r="D23" s="704"/>
      <c r="E23" s="704"/>
      <c r="F23" s="704"/>
      <c r="G23" s="704"/>
      <c r="I23" s="33"/>
      <c r="K23" s="33"/>
    </row>
    <row r="24" spans="1:11" ht="19.5" customHeight="1">
      <c r="A24" s="13"/>
      <c r="B24" s="70">
        <v>75495</v>
      </c>
      <c r="C24" s="70" t="s">
        <v>235</v>
      </c>
      <c r="D24" s="244">
        <v>150000</v>
      </c>
      <c r="E24" s="244"/>
      <c r="F24" s="244">
        <f>F25</f>
        <v>400000</v>
      </c>
      <c r="G24" s="244">
        <f t="shared" si="0"/>
        <v>550000</v>
      </c>
      <c r="I24" s="33"/>
      <c r="K24" s="33"/>
    </row>
    <row r="25" spans="1:11" ht="19.5" customHeight="1">
      <c r="A25" s="13"/>
      <c r="B25" s="13"/>
      <c r="C25" s="248" t="s">
        <v>130</v>
      </c>
      <c r="D25" s="100">
        <v>150000</v>
      </c>
      <c r="E25" s="100"/>
      <c r="F25" s="100">
        <v>400000</v>
      </c>
      <c r="G25" s="100">
        <f t="shared" si="0"/>
        <v>550000</v>
      </c>
      <c r="I25" s="33"/>
      <c r="K25" s="33"/>
    </row>
    <row r="26" spans="1:11" ht="18.75" customHeight="1">
      <c r="A26" s="95">
        <v>758</v>
      </c>
      <c r="B26" s="95"/>
      <c r="C26" s="95" t="s">
        <v>289</v>
      </c>
      <c r="D26" s="340">
        <v>3532639</v>
      </c>
      <c r="E26" s="340">
        <f>E27</f>
        <v>140000</v>
      </c>
      <c r="F26" s="340"/>
      <c r="G26" s="340">
        <f t="shared" si="0"/>
        <v>3392639</v>
      </c>
      <c r="I26" s="33"/>
      <c r="K26" s="33"/>
    </row>
    <row r="27" spans="1:11" ht="18.75" customHeight="1">
      <c r="A27" s="13"/>
      <c r="B27" s="10">
        <v>75818</v>
      </c>
      <c r="C27" s="10" t="s">
        <v>290</v>
      </c>
      <c r="D27" s="145">
        <v>3482639</v>
      </c>
      <c r="E27" s="145">
        <f>E28</f>
        <v>140000</v>
      </c>
      <c r="F27" s="145"/>
      <c r="G27" s="145">
        <f t="shared" si="0"/>
        <v>3342639</v>
      </c>
      <c r="I27" s="33"/>
      <c r="K27" s="33"/>
    </row>
    <row r="28" spans="1:11" ht="18.75" customHeight="1">
      <c r="A28" s="29"/>
      <c r="B28" s="164"/>
      <c r="C28" s="164" t="s">
        <v>300</v>
      </c>
      <c r="D28" s="694">
        <v>3382639</v>
      </c>
      <c r="E28" s="694">
        <v>140000</v>
      </c>
      <c r="F28" s="694"/>
      <c r="G28" s="694">
        <f t="shared" si="0"/>
        <v>3242639</v>
      </c>
      <c r="I28" s="33"/>
      <c r="K28" s="33"/>
    </row>
    <row r="29" spans="1:11" ht="18.75" customHeight="1">
      <c r="A29" s="8">
        <v>801</v>
      </c>
      <c r="B29" s="8"/>
      <c r="C29" s="8" t="s">
        <v>262</v>
      </c>
      <c r="D29" s="9">
        <v>251354179</v>
      </c>
      <c r="E29" s="9">
        <f>E47+E42+E38+E35+E30+E32</f>
        <v>283399</v>
      </c>
      <c r="F29" s="9">
        <f>F47+F42+F38+F35+F30+F32</f>
        <v>641024</v>
      </c>
      <c r="G29" s="9">
        <f t="shared" si="0"/>
        <v>251711804</v>
      </c>
      <c r="H29" s="33">
        <f>F29-E29</f>
        <v>357625</v>
      </c>
      <c r="I29" s="33"/>
      <c r="K29" s="33"/>
    </row>
    <row r="30" spans="1:11" ht="18.75" customHeight="1">
      <c r="A30" s="13"/>
      <c r="B30" s="70">
        <v>80101</v>
      </c>
      <c r="C30" s="70" t="s">
        <v>450</v>
      </c>
      <c r="D30" s="18">
        <v>81834759</v>
      </c>
      <c r="E30" s="18"/>
      <c r="F30" s="18">
        <f>F31</f>
        <v>50000</v>
      </c>
      <c r="G30" s="18">
        <f t="shared" si="0"/>
        <v>81884759</v>
      </c>
      <c r="I30" s="33"/>
      <c r="K30" s="33"/>
    </row>
    <row r="31" spans="1:11" ht="18.75" customHeight="1">
      <c r="A31" s="13"/>
      <c r="B31" s="164"/>
      <c r="C31" s="83" t="s">
        <v>451</v>
      </c>
      <c r="D31" s="100">
        <v>11467325</v>
      </c>
      <c r="E31" s="100"/>
      <c r="F31" s="100">
        <v>50000</v>
      </c>
      <c r="G31" s="100">
        <f t="shared" si="0"/>
        <v>11517325</v>
      </c>
      <c r="I31" s="33"/>
      <c r="K31" s="33"/>
    </row>
    <row r="32" spans="1:11" ht="18.75" customHeight="1">
      <c r="A32" s="13"/>
      <c r="B32" s="70">
        <v>80110</v>
      </c>
      <c r="C32" s="70" t="s">
        <v>110</v>
      </c>
      <c r="D32" s="18">
        <v>47233492</v>
      </c>
      <c r="E32" s="18">
        <f>E34+E33</f>
        <v>63239</v>
      </c>
      <c r="F32" s="18">
        <f>F34+F33</f>
        <v>13239</v>
      </c>
      <c r="G32" s="18">
        <f t="shared" si="0"/>
        <v>47183492</v>
      </c>
      <c r="I32" s="33"/>
      <c r="K32" s="33"/>
    </row>
    <row r="33" spans="1:11" ht="18.75" customHeight="1">
      <c r="A33" s="13"/>
      <c r="B33" s="85"/>
      <c r="C33" s="38" t="s">
        <v>451</v>
      </c>
      <c r="D33" s="100">
        <v>6489977</v>
      </c>
      <c r="E33" s="100"/>
      <c r="F33" s="100">
        <v>13239</v>
      </c>
      <c r="G33" s="100">
        <f t="shared" si="0"/>
        <v>6503216</v>
      </c>
      <c r="I33" s="33"/>
      <c r="K33" s="33"/>
    </row>
    <row r="34" spans="1:11" ht="18.75" customHeight="1">
      <c r="A34" s="13"/>
      <c r="B34" s="29"/>
      <c r="C34" s="696" t="s">
        <v>274</v>
      </c>
      <c r="D34" s="697">
        <v>2846515</v>
      </c>
      <c r="E34" s="697">
        <v>63239</v>
      </c>
      <c r="F34" s="697"/>
      <c r="G34" s="697">
        <f t="shared" si="0"/>
        <v>2783276</v>
      </c>
      <c r="I34" s="33"/>
      <c r="K34" s="33"/>
    </row>
    <row r="35" spans="1:11" ht="18.75" customHeight="1">
      <c r="A35" s="13"/>
      <c r="B35" s="70">
        <v>80120</v>
      </c>
      <c r="C35" s="70" t="s">
        <v>453</v>
      </c>
      <c r="D35" s="168">
        <v>38279555</v>
      </c>
      <c r="E35" s="168">
        <f>E36+E37</f>
        <v>8000</v>
      </c>
      <c r="F35" s="168">
        <f>F36+F37</f>
        <v>8000</v>
      </c>
      <c r="G35" s="168">
        <f t="shared" si="0"/>
        <v>38279555</v>
      </c>
      <c r="I35" s="33"/>
      <c r="K35" s="33"/>
    </row>
    <row r="36" spans="1:11" ht="18.75" customHeight="1">
      <c r="A36" s="13"/>
      <c r="B36" s="85"/>
      <c r="C36" s="38" t="s">
        <v>451</v>
      </c>
      <c r="D36" s="100">
        <v>4641248</v>
      </c>
      <c r="E36" s="100"/>
      <c r="F36" s="100">
        <v>8000</v>
      </c>
      <c r="G36" s="100">
        <f t="shared" si="0"/>
        <v>4649248</v>
      </c>
      <c r="I36" s="33"/>
      <c r="K36" s="33"/>
    </row>
    <row r="37" spans="1:11" ht="18.75" customHeight="1">
      <c r="A37" s="13"/>
      <c r="B37" s="29"/>
      <c r="C37" s="696" t="s">
        <v>211</v>
      </c>
      <c r="D37" s="697">
        <v>4983250</v>
      </c>
      <c r="E37" s="697">
        <v>8000</v>
      </c>
      <c r="F37" s="697"/>
      <c r="G37" s="697">
        <f t="shared" si="0"/>
        <v>4975250</v>
      </c>
      <c r="I37" s="33"/>
      <c r="K37" s="33"/>
    </row>
    <row r="38" spans="1:11" ht="18.75" customHeight="1">
      <c r="A38" s="13"/>
      <c r="B38" s="70">
        <v>80123</v>
      </c>
      <c r="C38" s="70" t="s">
        <v>456</v>
      </c>
      <c r="D38" s="18">
        <v>3579100</v>
      </c>
      <c r="E38" s="18"/>
      <c r="F38" s="18">
        <f>F39+F40+F41</f>
        <v>208160</v>
      </c>
      <c r="G38" s="18">
        <f t="shared" si="0"/>
        <v>3787260</v>
      </c>
      <c r="I38" s="33"/>
      <c r="K38" s="33"/>
    </row>
    <row r="39" spans="1:11" ht="18.75" customHeight="1">
      <c r="A39" s="13"/>
      <c r="B39" s="85"/>
      <c r="C39" s="38" t="s">
        <v>306</v>
      </c>
      <c r="D39" s="100">
        <v>2272000</v>
      </c>
      <c r="E39" s="100"/>
      <c r="F39" s="100">
        <v>165630</v>
      </c>
      <c r="G39" s="100">
        <f t="shared" si="0"/>
        <v>2437630</v>
      </c>
      <c r="I39" s="33"/>
      <c r="K39" s="33"/>
    </row>
    <row r="40" spans="1:11" ht="18.75" customHeight="1">
      <c r="A40" s="13"/>
      <c r="B40" s="13"/>
      <c r="C40" s="698" t="s">
        <v>451</v>
      </c>
      <c r="D40" s="350">
        <v>458000</v>
      </c>
      <c r="E40" s="350"/>
      <c r="F40" s="350">
        <v>11870</v>
      </c>
      <c r="G40" s="350">
        <f t="shared" si="0"/>
        <v>469870</v>
      </c>
      <c r="I40" s="33"/>
      <c r="K40" s="33"/>
    </row>
    <row r="41" spans="1:11" ht="18.75" customHeight="1">
      <c r="A41" s="13"/>
      <c r="B41" s="29"/>
      <c r="C41" s="696" t="s">
        <v>211</v>
      </c>
      <c r="D41" s="697">
        <v>544000</v>
      </c>
      <c r="E41" s="697"/>
      <c r="F41" s="697">
        <v>30660</v>
      </c>
      <c r="G41" s="697">
        <f t="shared" si="0"/>
        <v>574660</v>
      </c>
      <c r="I41" s="33"/>
      <c r="K41" s="33"/>
    </row>
    <row r="42" spans="1:11" ht="18.75" customHeight="1">
      <c r="A42" s="13"/>
      <c r="B42" s="70">
        <v>80130</v>
      </c>
      <c r="C42" s="70" t="s">
        <v>445</v>
      </c>
      <c r="D42" s="168">
        <v>53711668</v>
      </c>
      <c r="E42" s="168">
        <f>E43+E44+E45+E46</f>
        <v>212160</v>
      </c>
      <c r="F42" s="168">
        <f>F43+F44+F45+F46</f>
        <v>4000</v>
      </c>
      <c r="G42" s="168">
        <f aca="true" t="shared" si="1" ref="G42:G63">D42+F42-E42</f>
        <v>53503508</v>
      </c>
      <c r="I42" s="33"/>
      <c r="K42" s="33"/>
    </row>
    <row r="43" spans="1:11" ht="18.75" customHeight="1">
      <c r="A43" s="13"/>
      <c r="B43" s="85"/>
      <c r="C43" s="38" t="s">
        <v>306</v>
      </c>
      <c r="D43" s="100">
        <v>31792675</v>
      </c>
      <c r="E43" s="100">
        <v>165630</v>
      </c>
      <c r="F43" s="100"/>
      <c r="G43" s="100">
        <f t="shared" si="1"/>
        <v>31627045</v>
      </c>
      <c r="I43" s="33"/>
      <c r="K43" s="33"/>
    </row>
    <row r="44" spans="1:11" ht="18.75" customHeight="1">
      <c r="A44" s="13"/>
      <c r="B44" s="13"/>
      <c r="C44" s="698" t="s">
        <v>451</v>
      </c>
      <c r="D44" s="350">
        <v>5924530</v>
      </c>
      <c r="E44" s="350">
        <v>5870</v>
      </c>
      <c r="F44" s="350"/>
      <c r="G44" s="350">
        <f t="shared" si="1"/>
        <v>5918660</v>
      </c>
      <c r="I44" s="33"/>
      <c r="K44" s="33"/>
    </row>
    <row r="45" spans="1:11" ht="18.75" customHeight="1">
      <c r="A45" s="13"/>
      <c r="B45" s="13"/>
      <c r="C45" s="698" t="s">
        <v>211</v>
      </c>
      <c r="D45" s="350">
        <v>6489950</v>
      </c>
      <c r="E45" s="350">
        <v>40660</v>
      </c>
      <c r="F45" s="350"/>
      <c r="G45" s="350">
        <f t="shared" si="1"/>
        <v>6449290</v>
      </c>
      <c r="I45" s="33"/>
      <c r="K45" s="33"/>
    </row>
    <row r="46" spans="1:11" ht="18.75" customHeight="1">
      <c r="A46" s="13"/>
      <c r="B46" s="29"/>
      <c r="C46" s="699" t="s">
        <v>274</v>
      </c>
      <c r="D46" s="697">
        <v>6204513</v>
      </c>
      <c r="E46" s="697"/>
      <c r="F46" s="697">
        <v>4000</v>
      </c>
      <c r="G46" s="697">
        <f t="shared" si="1"/>
        <v>6208513</v>
      </c>
      <c r="I46" s="33"/>
      <c r="K46" s="33"/>
    </row>
    <row r="47" spans="1:11" ht="18.75" customHeight="1">
      <c r="A47" s="13"/>
      <c r="B47" s="70">
        <v>80195</v>
      </c>
      <c r="C47" s="217" t="s">
        <v>235</v>
      </c>
      <c r="D47" s="168">
        <v>1299000</v>
      </c>
      <c r="E47" s="168"/>
      <c r="F47" s="168">
        <f>F48+F49</f>
        <v>357625</v>
      </c>
      <c r="G47" s="168">
        <f t="shared" si="1"/>
        <v>1656625</v>
      </c>
      <c r="I47" s="33"/>
      <c r="K47" s="33"/>
    </row>
    <row r="48" spans="1:11" ht="27.75" customHeight="1">
      <c r="A48" s="29"/>
      <c r="B48" s="29"/>
      <c r="C48" s="83" t="s">
        <v>407</v>
      </c>
      <c r="D48" s="694">
        <v>978582</v>
      </c>
      <c r="E48" s="694"/>
      <c r="F48" s="694">
        <v>356745</v>
      </c>
      <c r="G48" s="694">
        <f t="shared" si="1"/>
        <v>1335327</v>
      </c>
      <c r="I48" s="33"/>
      <c r="K48" s="33"/>
    </row>
    <row r="49" spans="1:11" ht="26.25" customHeight="1">
      <c r="A49" s="23"/>
      <c r="B49" s="23"/>
      <c r="C49" s="316" t="s">
        <v>440</v>
      </c>
      <c r="D49" s="740">
        <v>2418</v>
      </c>
      <c r="E49" s="740"/>
      <c r="F49" s="740">
        <v>880</v>
      </c>
      <c r="G49" s="740">
        <f t="shared" si="1"/>
        <v>3298</v>
      </c>
      <c r="I49" s="33"/>
      <c r="K49" s="33"/>
    </row>
    <row r="50" spans="1:11" ht="19.5" customHeight="1">
      <c r="A50" s="95">
        <v>851</v>
      </c>
      <c r="B50" s="95"/>
      <c r="C50" s="56" t="s">
        <v>337</v>
      </c>
      <c r="D50" s="57">
        <v>8861000</v>
      </c>
      <c r="E50" s="57"/>
      <c r="F50" s="57"/>
      <c r="G50" s="57">
        <f>D50-E50+F50</f>
        <v>8861000</v>
      </c>
      <c r="I50" s="33"/>
      <c r="K50" s="33"/>
    </row>
    <row r="51" spans="1:11" s="72" customFormat="1" ht="19.5" customHeight="1">
      <c r="A51" s="34"/>
      <c r="B51" s="70">
        <v>85154</v>
      </c>
      <c r="C51" s="70" t="s">
        <v>359</v>
      </c>
      <c r="D51" s="244">
        <v>4500000</v>
      </c>
      <c r="E51" s="244"/>
      <c r="F51" s="244"/>
      <c r="G51" s="244">
        <f>D51-E51+F51</f>
        <v>4500000</v>
      </c>
      <c r="I51" s="320"/>
      <c r="K51" s="320"/>
    </row>
    <row r="52" spans="1:11" s="72" customFormat="1" ht="26.25" customHeight="1">
      <c r="A52" s="13"/>
      <c r="B52" s="13"/>
      <c r="C52" s="38" t="s">
        <v>394</v>
      </c>
      <c r="D52" s="100">
        <v>4500000</v>
      </c>
      <c r="E52" s="100"/>
      <c r="F52" s="100"/>
      <c r="G52" s="100">
        <f>D52-E52+F52</f>
        <v>4500000</v>
      </c>
      <c r="I52" s="320"/>
      <c r="K52" s="320"/>
    </row>
    <row r="53" spans="1:11" ht="15" customHeight="1">
      <c r="A53" s="23"/>
      <c r="B53" s="23"/>
      <c r="C53" s="316" t="s">
        <v>274</v>
      </c>
      <c r="D53" s="740">
        <v>581000</v>
      </c>
      <c r="E53" s="740"/>
      <c r="F53" s="740">
        <v>30000</v>
      </c>
      <c r="G53" s="740">
        <f>D53-E53+F53</f>
        <v>611000</v>
      </c>
      <c r="I53" s="33"/>
      <c r="K53" s="33"/>
    </row>
    <row r="54" spans="1:11" ht="19.5" customHeight="1">
      <c r="A54" s="95">
        <v>853</v>
      </c>
      <c r="B54" s="95"/>
      <c r="C54" s="56" t="s">
        <v>216</v>
      </c>
      <c r="D54" s="57">
        <v>76001379</v>
      </c>
      <c r="E54" s="57"/>
      <c r="F54" s="57">
        <f>F55</f>
        <v>250000</v>
      </c>
      <c r="G54" s="57">
        <f t="shared" si="1"/>
        <v>76251379</v>
      </c>
      <c r="I54" s="33"/>
      <c r="K54" s="33"/>
    </row>
    <row r="55" spans="1:11" s="72" customFormat="1" ht="19.5" customHeight="1">
      <c r="A55" s="34"/>
      <c r="B55" s="70">
        <v>85304</v>
      </c>
      <c r="C55" s="70" t="s">
        <v>401</v>
      </c>
      <c r="D55" s="244">
        <v>4254110</v>
      </c>
      <c r="E55" s="244"/>
      <c r="F55" s="244">
        <f>F56</f>
        <v>250000</v>
      </c>
      <c r="G55" s="244">
        <f t="shared" si="1"/>
        <v>4504110</v>
      </c>
      <c r="I55" s="320"/>
      <c r="K55" s="320"/>
    </row>
    <row r="56" spans="1:11" s="72" customFormat="1" ht="19.5" customHeight="1">
      <c r="A56" s="13"/>
      <c r="B56" s="13"/>
      <c r="C56" s="248" t="s">
        <v>403</v>
      </c>
      <c r="D56" s="100">
        <v>4254110</v>
      </c>
      <c r="E56" s="100"/>
      <c r="F56" s="100">
        <v>250000</v>
      </c>
      <c r="G56" s="100">
        <f t="shared" si="1"/>
        <v>4504110</v>
      </c>
      <c r="I56" s="320"/>
      <c r="K56" s="320"/>
    </row>
    <row r="57" spans="1:11" s="31" customFormat="1" ht="19.5" customHeight="1">
      <c r="A57" s="95">
        <v>854</v>
      </c>
      <c r="B57" s="95"/>
      <c r="C57" s="95" t="s">
        <v>280</v>
      </c>
      <c r="D57" s="340">
        <v>81182959</v>
      </c>
      <c r="E57" s="340">
        <f>E58+E61</f>
        <v>6800</v>
      </c>
      <c r="F57" s="340">
        <f>F58+F61</f>
        <v>97383</v>
      </c>
      <c r="G57" s="340">
        <f t="shared" si="1"/>
        <v>81273542</v>
      </c>
      <c r="H57" s="315">
        <f>F57-E57</f>
        <v>90583</v>
      </c>
      <c r="I57" s="315"/>
      <c r="K57" s="315"/>
    </row>
    <row r="58" spans="1:8" ht="19.5" customHeight="1">
      <c r="A58" s="13"/>
      <c r="B58" s="70">
        <v>85404</v>
      </c>
      <c r="C58" s="70" t="s">
        <v>428</v>
      </c>
      <c r="D58" s="244">
        <v>43722000</v>
      </c>
      <c r="E58" s="244">
        <f>E59+E60</f>
        <v>4300</v>
      </c>
      <c r="F58" s="244">
        <f>F59+F60</f>
        <v>4300</v>
      </c>
      <c r="G58" s="244">
        <f t="shared" si="1"/>
        <v>43722000</v>
      </c>
      <c r="H58" s="534"/>
    </row>
    <row r="59" spans="1:8" ht="19.5" customHeight="1">
      <c r="A59" s="13"/>
      <c r="B59" s="85"/>
      <c r="C59" s="248" t="s">
        <v>304</v>
      </c>
      <c r="D59" s="100">
        <v>6159040</v>
      </c>
      <c r="E59" s="100">
        <v>4300</v>
      </c>
      <c r="F59" s="100"/>
      <c r="G59" s="100">
        <f t="shared" si="1"/>
        <v>6154740</v>
      </c>
      <c r="H59" s="535"/>
    </row>
    <row r="60" spans="1:8" ht="19.5" customHeight="1">
      <c r="A60" s="13"/>
      <c r="B60" s="29"/>
      <c r="C60" s="699" t="s">
        <v>809</v>
      </c>
      <c r="D60" s="697"/>
      <c r="E60" s="697"/>
      <c r="F60" s="697">
        <v>4300</v>
      </c>
      <c r="G60" s="697">
        <f t="shared" si="1"/>
        <v>4300</v>
      </c>
      <c r="H60" s="535"/>
    </row>
    <row r="61" spans="1:8" ht="19.5" customHeight="1">
      <c r="A61" s="13"/>
      <c r="B61" s="70">
        <v>85495</v>
      </c>
      <c r="C61" s="70" t="s">
        <v>235</v>
      </c>
      <c r="D61" s="244">
        <v>8298200</v>
      </c>
      <c r="E61" s="244">
        <f>E62+E65</f>
        <v>2500</v>
      </c>
      <c r="F61" s="244">
        <f>F62+F65</f>
        <v>93083</v>
      </c>
      <c r="G61" s="244">
        <f t="shared" si="1"/>
        <v>8388783</v>
      </c>
      <c r="H61" s="534"/>
    </row>
    <row r="62" spans="1:8" ht="19.5" customHeight="1">
      <c r="A62" s="13"/>
      <c r="B62" s="85"/>
      <c r="C62" s="567" t="s">
        <v>472</v>
      </c>
      <c r="D62" s="349">
        <v>8119200</v>
      </c>
      <c r="E62" s="349">
        <f>E63+E64</f>
        <v>2500</v>
      </c>
      <c r="F62" s="349">
        <f>F63+F64</f>
        <v>2500</v>
      </c>
      <c r="G62" s="349">
        <f t="shared" si="1"/>
        <v>8119200</v>
      </c>
      <c r="H62" s="535"/>
    </row>
    <row r="63" spans="1:8" ht="19.5" customHeight="1">
      <c r="A63" s="13"/>
      <c r="B63" s="13"/>
      <c r="C63" s="701" t="s">
        <v>304</v>
      </c>
      <c r="D63" s="568">
        <v>1855216</v>
      </c>
      <c r="E63" s="568"/>
      <c r="F63" s="568">
        <v>2500</v>
      </c>
      <c r="G63" s="568">
        <f t="shared" si="1"/>
        <v>1857716</v>
      </c>
      <c r="H63" s="535"/>
    </row>
    <row r="64" spans="1:8" ht="19.5" customHeight="1">
      <c r="A64" s="13"/>
      <c r="B64" s="13"/>
      <c r="C64" s="493" t="s">
        <v>211</v>
      </c>
      <c r="D64" s="350">
        <v>1040115</v>
      </c>
      <c r="E64" s="350">
        <v>2500</v>
      </c>
      <c r="F64" s="350"/>
      <c r="G64" s="350">
        <f>D64+F64-E64</f>
        <v>1037615</v>
      </c>
      <c r="H64" s="535"/>
    </row>
    <row r="65" spans="1:11" s="37" customFormat="1" ht="29.25" customHeight="1">
      <c r="A65" s="13"/>
      <c r="B65" s="13"/>
      <c r="C65" s="696" t="s">
        <v>407</v>
      </c>
      <c r="D65" s="697">
        <v>177000</v>
      </c>
      <c r="E65" s="697"/>
      <c r="F65" s="697">
        <v>90583</v>
      </c>
      <c r="G65" s="697">
        <f>D65+F65-E65</f>
        <v>267583</v>
      </c>
      <c r="I65" s="348"/>
      <c r="K65" s="348"/>
    </row>
    <row r="66" spans="1:7" ht="19.5" customHeight="1">
      <c r="A66" s="95">
        <v>921</v>
      </c>
      <c r="B66" s="95"/>
      <c r="C66" s="56" t="s">
        <v>251</v>
      </c>
      <c r="D66" s="57">
        <v>13708600</v>
      </c>
      <c r="E66" s="57">
        <f>E67</f>
        <v>15000</v>
      </c>
      <c r="F66" s="57">
        <f>F67</f>
        <v>155000</v>
      </c>
      <c r="G66" s="57">
        <f aca="true" t="shared" si="2" ref="G66:G71">D66+F66-E66</f>
        <v>13848600</v>
      </c>
    </row>
    <row r="67" spans="1:7" s="72" customFormat="1" ht="19.5" customHeight="1">
      <c r="A67" s="13"/>
      <c r="B67" s="10">
        <v>92105</v>
      </c>
      <c r="C67" s="11" t="s">
        <v>252</v>
      </c>
      <c r="D67" s="18">
        <v>2091600</v>
      </c>
      <c r="E67" s="18">
        <f>E68+E69+E70+E71</f>
        <v>15000</v>
      </c>
      <c r="F67" s="18">
        <f>F68+F69+F70+F71</f>
        <v>155000</v>
      </c>
      <c r="G67" s="18">
        <f t="shared" si="2"/>
        <v>2231600</v>
      </c>
    </row>
    <row r="68" spans="1:7" s="72" customFormat="1" ht="19.5" customHeight="1">
      <c r="A68" s="13"/>
      <c r="B68" s="34"/>
      <c r="C68" s="86" t="s">
        <v>825</v>
      </c>
      <c r="D68" s="96">
        <v>753600</v>
      </c>
      <c r="E68" s="96"/>
      <c r="F68" s="96">
        <v>14000</v>
      </c>
      <c r="G68" s="96">
        <f>D68+F68-E68</f>
        <v>767600</v>
      </c>
    </row>
    <row r="69" spans="1:8" s="456" customFormat="1" ht="19.5" customHeight="1">
      <c r="A69" s="13"/>
      <c r="B69" s="34"/>
      <c r="C69" s="698" t="s">
        <v>374</v>
      </c>
      <c r="D69" s="742">
        <v>28000</v>
      </c>
      <c r="E69" s="742"/>
      <c r="F69" s="742">
        <v>1000</v>
      </c>
      <c r="G69" s="742">
        <f t="shared" si="2"/>
        <v>29000</v>
      </c>
      <c r="H69" s="455"/>
    </row>
    <row r="70" spans="1:8" s="456" customFormat="1" ht="19.5" customHeight="1">
      <c r="A70" s="13"/>
      <c r="B70" s="34"/>
      <c r="C70" s="698" t="s">
        <v>376</v>
      </c>
      <c r="D70" s="742">
        <v>15000</v>
      </c>
      <c r="E70" s="742">
        <v>15000</v>
      </c>
      <c r="F70" s="742"/>
      <c r="G70" s="742">
        <f t="shared" si="2"/>
        <v>0</v>
      </c>
      <c r="H70" s="455"/>
    </row>
    <row r="71" spans="1:8" s="456" customFormat="1" ht="19.5" customHeight="1">
      <c r="A71" s="29"/>
      <c r="B71" s="70"/>
      <c r="C71" s="696" t="s">
        <v>809</v>
      </c>
      <c r="D71" s="743">
        <v>1280000</v>
      </c>
      <c r="E71" s="743"/>
      <c r="F71" s="743">
        <v>140000</v>
      </c>
      <c r="G71" s="743">
        <f t="shared" si="2"/>
        <v>1420000</v>
      </c>
      <c r="H71" s="455"/>
    </row>
    <row r="72" spans="1:7" ht="29.25" customHeight="1" thickBot="1">
      <c r="A72" s="13"/>
      <c r="B72" s="13"/>
      <c r="C72" s="74" t="s">
        <v>350</v>
      </c>
      <c r="D72" s="75">
        <v>2974358</v>
      </c>
      <c r="E72" s="75"/>
      <c r="F72" s="75"/>
      <c r="G72" s="75">
        <f>D72+F72</f>
        <v>2974358</v>
      </c>
    </row>
    <row r="73" spans="1:7" ht="21" customHeight="1" thickBot="1" thickTop="1">
      <c r="A73" s="281"/>
      <c r="B73" s="89"/>
      <c r="C73" s="285" t="s">
        <v>824</v>
      </c>
      <c r="D73" s="286">
        <v>54516269</v>
      </c>
      <c r="E73" s="286">
        <f>E74+E82</f>
        <v>473000</v>
      </c>
      <c r="F73" s="286">
        <f>F74+F82</f>
        <v>304990</v>
      </c>
      <c r="G73" s="286">
        <f aca="true" t="shared" si="3" ref="G73:G81">D73-E73+F73</f>
        <v>54348259</v>
      </c>
    </row>
    <row r="74" spans="1:8" s="28" customFormat="1" ht="19.5" customHeight="1" thickBot="1">
      <c r="A74" s="29"/>
      <c r="B74" s="29"/>
      <c r="C74" s="283" t="s">
        <v>291</v>
      </c>
      <c r="D74" s="284">
        <v>34221495</v>
      </c>
      <c r="E74" s="284">
        <f>E75</f>
        <v>473000</v>
      </c>
      <c r="F74" s="284">
        <f>F75</f>
        <v>292990</v>
      </c>
      <c r="G74" s="284">
        <f t="shared" si="3"/>
        <v>34041485</v>
      </c>
      <c r="H74" s="282"/>
    </row>
    <row r="75" spans="1:8" s="28" customFormat="1" ht="19.5" customHeight="1" thickTop="1">
      <c r="A75" s="8">
        <v>853</v>
      </c>
      <c r="B75" s="8"/>
      <c r="C75" s="8" t="s">
        <v>216</v>
      </c>
      <c r="D75" s="57">
        <v>28948880</v>
      </c>
      <c r="E75" s="57">
        <f>E76+E78+E80</f>
        <v>473000</v>
      </c>
      <c r="F75" s="57">
        <f>F76+F78+F80</f>
        <v>292990</v>
      </c>
      <c r="G75" s="57">
        <f t="shared" si="3"/>
        <v>28768870</v>
      </c>
      <c r="H75" s="310"/>
    </row>
    <row r="76" spans="1:8" s="28" customFormat="1" ht="26.25" customHeight="1">
      <c r="A76" s="13"/>
      <c r="B76" s="70">
        <v>85313</v>
      </c>
      <c r="C76" s="217" t="s">
        <v>408</v>
      </c>
      <c r="D76" s="527">
        <v>1473000</v>
      </c>
      <c r="E76" s="527">
        <f>E77</f>
        <v>473000</v>
      </c>
      <c r="F76" s="527"/>
      <c r="G76" s="527">
        <f t="shared" si="3"/>
        <v>1000000</v>
      </c>
      <c r="H76" s="310"/>
    </row>
    <row r="77" spans="1:8" s="28" customFormat="1" ht="29.25" customHeight="1">
      <c r="A77" s="13"/>
      <c r="B77" s="164"/>
      <c r="C77" s="83" t="s">
        <v>413</v>
      </c>
      <c r="D77" s="270">
        <v>1473000</v>
      </c>
      <c r="E77" s="270">
        <v>473000</v>
      </c>
      <c r="F77" s="270"/>
      <c r="G77" s="270">
        <f t="shared" si="3"/>
        <v>1000000</v>
      </c>
      <c r="H77" s="310"/>
    </row>
    <row r="78" spans="1:8" s="28" customFormat="1" ht="26.25" customHeight="1">
      <c r="A78" s="13"/>
      <c r="B78" s="70">
        <v>85314</v>
      </c>
      <c r="C78" s="217" t="s">
        <v>411</v>
      </c>
      <c r="D78" s="527">
        <v>20316000</v>
      </c>
      <c r="E78" s="527"/>
      <c r="F78" s="527">
        <f>F79</f>
        <v>292000</v>
      </c>
      <c r="G78" s="527">
        <f t="shared" si="3"/>
        <v>20608000</v>
      </c>
      <c r="H78" s="310"/>
    </row>
    <row r="79" spans="1:8" s="28" customFormat="1" ht="19.5" customHeight="1">
      <c r="A79" s="13"/>
      <c r="B79" s="13"/>
      <c r="C79" s="248" t="s">
        <v>403</v>
      </c>
      <c r="D79" s="270">
        <v>20316000</v>
      </c>
      <c r="E79" s="270"/>
      <c r="F79" s="270">
        <v>292000</v>
      </c>
      <c r="G79" s="270">
        <f t="shared" si="3"/>
        <v>20608000</v>
      </c>
      <c r="H79" s="310"/>
    </row>
    <row r="80" spans="1:8" s="28" customFormat="1" ht="19.5" customHeight="1">
      <c r="A80" s="13"/>
      <c r="B80" s="10">
        <v>85395</v>
      </c>
      <c r="C80" s="11" t="s">
        <v>235</v>
      </c>
      <c r="D80" s="527">
        <v>29880</v>
      </c>
      <c r="E80" s="527"/>
      <c r="F80" s="527">
        <f>F81</f>
        <v>990</v>
      </c>
      <c r="G80" s="527">
        <f t="shared" si="3"/>
        <v>30870</v>
      </c>
      <c r="H80" s="310"/>
    </row>
    <row r="81" spans="1:8" s="28" customFormat="1" ht="19.5" customHeight="1">
      <c r="A81" s="13"/>
      <c r="B81" s="13"/>
      <c r="C81" s="83" t="s">
        <v>323</v>
      </c>
      <c r="D81" s="270">
        <v>29880</v>
      </c>
      <c r="E81" s="270"/>
      <c r="F81" s="270">
        <v>990</v>
      </c>
      <c r="G81" s="270">
        <f t="shared" si="3"/>
        <v>30870</v>
      </c>
      <c r="H81" s="310"/>
    </row>
    <row r="82" spans="1:7" s="28" customFormat="1" ht="27.75" customHeight="1" thickBot="1">
      <c r="A82" s="60"/>
      <c r="B82" s="58"/>
      <c r="C82" s="74" t="s">
        <v>292</v>
      </c>
      <c r="D82" s="75">
        <v>20294774</v>
      </c>
      <c r="E82" s="75"/>
      <c r="F82" s="75">
        <f>F83</f>
        <v>12000</v>
      </c>
      <c r="G82" s="75">
        <f>D82-E82+F82</f>
        <v>20306774</v>
      </c>
    </row>
    <row r="83" spans="1:7" ht="21" customHeight="1" thickTop="1">
      <c r="A83" s="382">
        <v>853</v>
      </c>
      <c r="B83" s="8"/>
      <c r="C83" s="56" t="s">
        <v>216</v>
      </c>
      <c r="D83" s="57">
        <v>4171240</v>
      </c>
      <c r="E83" s="57"/>
      <c r="F83" s="57">
        <f>F84</f>
        <v>12000</v>
      </c>
      <c r="G83" s="57">
        <f>D83+F83-E83</f>
        <v>4183240</v>
      </c>
    </row>
    <row r="84" spans="1:7" ht="19.5" customHeight="1">
      <c r="A84" s="85"/>
      <c r="B84" s="10">
        <v>85321</v>
      </c>
      <c r="C84" s="10" t="s">
        <v>397</v>
      </c>
      <c r="D84" s="18">
        <v>369200</v>
      </c>
      <c r="E84" s="18"/>
      <c r="F84" s="18">
        <f>F85</f>
        <v>12000</v>
      </c>
      <c r="G84" s="18">
        <f>D84+F84-E84</f>
        <v>381200</v>
      </c>
    </row>
    <row r="85" spans="1:7" ht="26.25" customHeight="1">
      <c r="A85" s="29"/>
      <c r="B85" s="29"/>
      <c r="C85" s="83" t="s">
        <v>446</v>
      </c>
      <c r="D85" s="165">
        <v>359200</v>
      </c>
      <c r="E85" s="165"/>
      <c r="F85" s="165">
        <v>12000</v>
      </c>
      <c r="G85" s="165">
        <f>D85+F85-E85</f>
        <v>371200</v>
      </c>
    </row>
    <row r="86" ht="12.75">
      <c r="D86" s="27" t="s">
        <v>208</v>
      </c>
    </row>
  </sheetData>
  <printOptions horizontalCentered="1"/>
  <pageMargins left="0.3937007874015748" right="0.3937007874015748" top="0.6692913385826772" bottom="0.5905511811023623" header="0.5118110236220472" footer="0.31496062992125984"/>
  <pageSetup firstPageNumber="6" useFirstPageNumber="1" horizontalDpi="300" verticalDpi="3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zoomScale="75" zoomScaleNormal="75" workbookViewId="0" topLeftCell="D1">
      <selection activeCell="K7" sqref="K7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39.00390625" style="152" customWidth="1"/>
    <col min="4" max="4" width="14.75390625" style="0" customWidth="1"/>
    <col min="5" max="8" width="12.75390625" style="0" customWidth="1"/>
    <col min="9" max="9" width="13.753906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27" customFormat="1" ht="15.75" customHeight="1">
      <c r="C1" s="108"/>
      <c r="J1" s="109" t="s">
        <v>248</v>
      </c>
    </row>
    <row r="2" spans="3:10" s="27" customFormat="1" ht="15.75" customHeight="1">
      <c r="C2" s="108"/>
      <c r="J2" s="27" t="s">
        <v>834</v>
      </c>
    </row>
    <row r="3" spans="3:10" s="27" customFormat="1" ht="15.75" customHeight="1">
      <c r="C3" s="110" t="s">
        <v>265</v>
      </c>
      <c r="J3" s="27" t="s">
        <v>246</v>
      </c>
    </row>
    <row r="4" spans="3:10" s="27" customFormat="1" ht="15.75" customHeight="1">
      <c r="C4" s="108"/>
      <c r="J4" s="27" t="s">
        <v>833</v>
      </c>
    </row>
    <row r="5" spans="2:12" s="27" customFormat="1" ht="14.25" customHeight="1" thickBot="1">
      <c r="B5" s="3"/>
      <c r="C5" s="108"/>
      <c r="K5" s="111"/>
      <c r="L5" s="690" t="s">
        <v>332</v>
      </c>
    </row>
    <row r="6" spans="1:12" s="27" customFormat="1" ht="42" customHeight="1" thickBot="1" thickTop="1">
      <c r="A6" s="112"/>
      <c r="B6" s="112"/>
      <c r="C6" s="113"/>
      <c r="D6" s="745" t="s">
        <v>282</v>
      </c>
      <c r="E6" s="114" t="s">
        <v>224</v>
      </c>
      <c r="F6" s="115"/>
      <c r="G6" s="115"/>
      <c r="H6" s="116"/>
      <c r="I6" s="117" t="s">
        <v>217</v>
      </c>
      <c r="J6" s="114" t="s">
        <v>224</v>
      </c>
      <c r="K6" s="118"/>
      <c r="L6" s="119"/>
    </row>
    <row r="7" spans="1:12" s="27" customFormat="1" ht="74.25" customHeight="1" thickBot="1" thickTop="1">
      <c r="A7" s="120" t="s">
        <v>328</v>
      </c>
      <c r="B7" s="121" t="s">
        <v>266</v>
      </c>
      <c r="C7" s="121" t="s">
        <v>267</v>
      </c>
      <c r="D7" s="746"/>
      <c r="E7" s="122" t="s">
        <v>268</v>
      </c>
      <c r="F7" s="122" t="s">
        <v>269</v>
      </c>
      <c r="G7" s="122" t="s">
        <v>270</v>
      </c>
      <c r="H7" s="123" t="s">
        <v>271</v>
      </c>
      <c r="I7" s="121" t="s">
        <v>272</v>
      </c>
      <c r="J7" s="122" t="s">
        <v>268</v>
      </c>
      <c r="K7" s="122" t="s">
        <v>269</v>
      </c>
      <c r="L7" s="122" t="s">
        <v>270</v>
      </c>
    </row>
    <row r="8" spans="1:12" s="26" customFormat="1" ht="15" customHeight="1" thickBot="1" thickTop="1">
      <c r="A8" s="1">
        <v>1</v>
      </c>
      <c r="B8" s="1">
        <v>2</v>
      </c>
      <c r="C8" s="124">
        <v>3</v>
      </c>
      <c r="D8" s="1">
        <v>4</v>
      </c>
      <c r="E8" s="1">
        <v>5</v>
      </c>
      <c r="F8" s="125">
        <v>6</v>
      </c>
      <c r="G8" s="1">
        <v>7</v>
      </c>
      <c r="H8" s="1">
        <v>8</v>
      </c>
      <c r="I8" s="1">
        <v>9</v>
      </c>
      <c r="J8" s="1">
        <v>10</v>
      </c>
      <c r="K8" s="125">
        <v>11</v>
      </c>
      <c r="L8" s="125">
        <v>12</v>
      </c>
    </row>
    <row r="9" spans="1:14" s="43" customFormat="1" ht="26.25" customHeight="1" thickBot="1" thickTop="1">
      <c r="A9" s="126"/>
      <c r="B9" s="126"/>
      <c r="C9" s="127" t="s">
        <v>273</v>
      </c>
      <c r="D9" s="128">
        <v>65513163</v>
      </c>
      <c r="E9" s="128">
        <v>22084135</v>
      </c>
      <c r="F9" s="128">
        <v>37667028</v>
      </c>
      <c r="G9" s="128">
        <v>5762000</v>
      </c>
      <c r="H9" s="129">
        <f>H11+H38+H39</f>
        <v>101061</v>
      </c>
      <c r="I9" s="130">
        <f>SUM(J9:L9)</f>
        <v>65614224</v>
      </c>
      <c r="J9" s="128">
        <f>E9+H11</f>
        <v>22185196</v>
      </c>
      <c r="K9" s="128">
        <f>F9</f>
        <v>37667028</v>
      </c>
      <c r="L9" s="128">
        <f>G9+H39</f>
        <v>5762000</v>
      </c>
      <c r="M9" s="131"/>
      <c r="N9" s="2"/>
    </row>
    <row r="10" spans="1:12" s="137" customFormat="1" ht="11.25" customHeight="1">
      <c r="A10" s="104"/>
      <c r="B10" s="104"/>
      <c r="C10" s="132" t="s">
        <v>224</v>
      </c>
      <c r="D10" s="133"/>
      <c r="E10" s="133"/>
      <c r="F10" s="133"/>
      <c r="G10" s="134"/>
      <c r="H10" s="135"/>
      <c r="I10" s="136"/>
      <c r="J10" s="133"/>
      <c r="K10" s="133"/>
      <c r="L10" s="133"/>
    </row>
    <row r="11" spans="1:14" ht="23.25" customHeight="1" thickBot="1">
      <c r="A11" s="77"/>
      <c r="B11" s="77"/>
      <c r="C11" s="138" t="s">
        <v>334</v>
      </c>
      <c r="D11" s="139">
        <v>65177163</v>
      </c>
      <c r="E11" s="139">
        <v>21949135</v>
      </c>
      <c r="F11" s="139">
        <v>37641028</v>
      </c>
      <c r="G11" s="139">
        <v>5587000</v>
      </c>
      <c r="H11" s="140">
        <f>H12+H15+H32+H28+H23+H35+H18</f>
        <v>101061</v>
      </c>
      <c r="I11" s="141">
        <f>SUM(J11:L11)</f>
        <v>65278224</v>
      </c>
      <c r="J11" s="139">
        <f>E11+H11</f>
        <v>22050196</v>
      </c>
      <c r="K11" s="139">
        <f>F11</f>
        <v>37641028</v>
      </c>
      <c r="L11" s="139">
        <f>G11</f>
        <v>5587000</v>
      </c>
      <c r="M11" s="2"/>
      <c r="N11" s="2"/>
    </row>
    <row r="12" spans="1:12" s="27" customFormat="1" ht="19.5" customHeight="1" thickTop="1">
      <c r="A12" s="8">
        <v>710</v>
      </c>
      <c r="B12" s="8"/>
      <c r="C12" s="8" t="s">
        <v>415</v>
      </c>
      <c r="D12" s="9"/>
      <c r="E12" s="9"/>
      <c r="F12" s="9"/>
      <c r="G12" s="352"/>
      <c r="H12" s="143">
        <f>H13</f>
        <v>6000</v>
      </c>
      <c r="I12" s="144">
        <f>H12</f>
        <v>6000</v>
      </c>
      <c r="J12" s="9">
        <f>H12</f>
        <v>6000</v>
      </c>
      <c r="K12" s="9"/>
      <c r="L12" s="9"/>
    </row>
    <row r="13" spans="1:12" s="27" customFormat="1" ht="19.5" customHeight="1">
      <c r="A13" s="13"/>
      <c r="B13" s="70">
        <v>71095</v>
      </c>
      <c r="C13" s="70" t="s">
        <v>235</v>
      </c>
      <c r="D13" s="244"/>
      <c r="E13" s="244"/>
      <c r="F13" s="244"/>
      <c r="G13" s="354"/>
      <c r="H13" s="359">
        <f>H14</f>
        <v>6000</v>
      </c>
      <c r="I13" s="356">
        <f>H13</f>
        <v>6000</v>
      </c>
      <c r="J13" s="244">
        <f>H13</f>
        <v>6000</v>
      </c>
      <c r="K13" s="244"/>
      <c r="L13" s="244"/>
    </row>
    <row r="14" spans="1:12" s="27" customFormat="1" ht="25.5" customHeight="1">
      <c r="A14" s="29"/>
      <c r="B14" s="29"/>
      <c r="C14" s="84" t="s">
        <v>821</v>
      </c>
      <c r="D14" s="84"/>
      <c r="E14" s="84"/>
      <c r="F14" s="84"/>
      <c r="G14" s="353"/>
      <c r="H14" s="358">
        <v>6000</v>
      </c>
      <c r="I14" s="355">
        <f>H14</f>
        <v>6000</v>
      </c>
      <c r="J14" s="84">
        <f>H14</f>
        <v>6000</v>
      </c>
      <c r="K14" s="84"/>
      <c r="L14" s="84"/>
    </row>
    <row r="15" spans="1:12" s="27" customFormat="1" ht="19.5" customHeight="1">
      <c r="A15" s="8">
        <v>750</v>
      </c>
      <c r="B15" s="8"/>
      <c r="C15" s="8" t="s">
        <v>371</v>
      </c>
      <c r="D15" s="9">
        <v>585000</v>
      </c>
      <c r="E15" s="9">
        <v>585000</v>
      </c>
      <c r="F15" s="9"/>
      <c r="G15" s="352"/>
      <c r="H15" s="143">
        <f>H16</f>
        <v>-20000</v>
      </c>
      <c r="I15" s="144">
        <f>SUM(J15:L15)</f>
        <v>565000</v>
      </c>
      <c r="J15" s="9">
        <f aca="true" t="shared" si="0" ref="J15:J32">E15+H15</f>
        <v>565000</v>
      </c>
      <c r="K15" s="9"/>
      <c r="L15" s="9"/>
    </row>
    <row r="16" spans="1:12" s="27" customFormat="1" ht="19.5" customHeight="1">
      <c r="A16" s="13"/>
      <c r="B16" s="70">
        <v>75023</v>
      </c>
      <c r="C16" s="70" t="s">
        <v>372</v>
      </c>
      <c r="D16" s="244">
        <v>585000</v>
      </c>
      <c r="E16" s="244">
        <v>585000</v>
      </c>
      <c r="F16" s="244"/>
      <c r="G16" s="354"/>
      <c r="H16" s="359">
        <f>H17</f>
        <v>-20000</v>
      </c>
      <c r="I16" s="356">
        <f>SUM(J16:L16)</f>
        <v>565000</v>
      </c>
      <c r="J16" s="244">
        <f t="shared" si="0"/>
        <v>565000</v>
      </c>
      <c r="K16" s="244"/>
      <c r="L16" s="244"/>
    </row>
    <row r="17" spans="1:12" s="27" customFormat="1" ht="19.5" customHeight="1">
      <c r="A17" s="29"/>
      <c r="B17" s="29"/>
      <c r="C17" s="83" t="s">
        <v>213</v>
      </c>
      <c r="D17" s="84">
        <v>285000</v>
      </c>
      <c r="E17" s="84">
        <v>285000</v>
      </c>
      <c r="F17" s="84"/>
      <c r="G17" s="353"/>
      <c r="H17" s="358">
        <v>-20000</v>
      </c>
      <c r="I17" s="355">
        <f>SUM(J17:L17)</f>
        <v>265000</v>
      </c>
      <c r="J17" s="84">
        <f t="shared" si="0"/>
        <v>265000</v>
      </c>
      <c r="K17" s="84"/>
      <c r="L17" s="84"/>
    </row>
    <row r="18" spans="1:12" s="27" customFormat="1" ht="26.25" customHeight="1">
      <c r="A18" s="8">
        <v>754</v>
      </c>
      <c r="B18" s="8"/>
      <c r="C18" s="56" t="s">
        <v>127</v>
      </c>
      <c r="D18" s="9">
        <v>662000</v>
      </c>
      <c r="E18" s="9">
        <v>662000</v>
      </c>
      <c r="F18" s="9"/>
      <c r="G18" s="352"/>
      <c r="H18" s="143">
        <f>H19+H21</f>
        <v>0</v>
      </c>
      <c r="I18" s="144">
        <f aca="true" t="shared" si="1" ref="I18:I32">D18+H18</f>
        <v>662000</v>
      </c>
      <c r="J18" s="9">
        <f t="shared" si="0"/>
        <v>662000</v>
      </c>
      <c r="K18" s="9"/>
      <c r="L18" s="9"/>
    </row>
    <row r="19" spans="1:12" s="27" customFormat="1" ht="19.5" customHeight="1">
      <c r="A19" s="13"/>
      <c r="B19" s="70">
        <v>75405</v>
      </c>
      <c r="C19" s="70" t="s">
        <v>128</v>
      </c>
      <c r="D19" s="244">
        <v>400000</v>
      </c>
      <c r="E19" s="244">
        <v>400000</v>
      </c>
      <c r="F19" s="244"/>
      <c r="G19" s="354"/>
      <c r="H19" s="359">
        <f>H20</f>
        <v>-400000</v>
      </c>
      <c r="I19" s="356">
        <f t="shared" si="1"/>
        <v>0</v>
      </c>
      <c r="J19" s="244">
        <f t="shared" si="0"/>
        <v>0</v>
      </c>
      <c r="K19" s="244"/>
      <c r="L19" s="244"/>
    </row>
    <row r="20" spans="1:12" s="27" customFormat="1" ht="19.5" customHeight="1">
      <c r="A20" s="13"/>
      <c r="B20" s="29"/>
      <c r="C20" s="84" t="s">
        <v>132</v>
      </c>
      <c r="D20" s="84">
        <v>400000</v>
      </c>
      <c r="E20" s="84">
        <v>400000</v>
      </c>
      <c r="F20" s="84"/>
      <c r="G20" s="353"/>
      <c r="H20" s="358">
        <v>-400000</v>
      </c>
      <c r="I20" s="355">
        <f t="shared" si="1"/>
        <v>0</v>
      </c>
      <c r="J20" s="84">
        <f t="shared" si="0"/>
        <v>0</v>
      </c>
      <c r="K20" s="84"/>
      <c r="L20" s="84"/>
    </row>
    <row r="21" spans="1:12" s="27" customFormat="1" ht="19.5" customHeight="1">
      <c r="A21" s="13"/>
      <c r="B21" s="70">
        <v>75495</v>
      </c>
      <c r="C21" s="70" t="s">
        <v>235</v>
      </c>
      <c r="D21" s="244">
        <v>150000</v>
      </c>
      <c r="E21" s="244">
        <v>150000</v>
      </c>
      <c r="F21" s="244"/>
      <c r="G21" s="354"/>
      <c r="H21" s="359">
        <f>H22</f>
        <v>400000</v>
      </c>
      <c r="I21" s="356">
        <f t="shared" si="1"/>
        <v>550000</v>
      </c>
      <c r="J21" s="244">
        <f t="shared" si="0"/>
        <v>550000</v>
      </c>
      <c r="K21" s="244"/>
      <c r="L21" s="244"/>
    </row>
    <row r="22" spans="1:12" s="27" customFormat="1" ht="19.5" customHeight="1">
      <c r="A22" s="29"/>
      <c r="B22" s="29"/>
      <c r="C22" s="165" t="s">
        <v>130</v>
      </c>
      <c r="D22" s="84">
        <v>150000</v>
      </c>
      <c r="E22" s="84">
        <v>150000</v>
      </c>
      <c r="F22" s="84"/>
      <c r="G22" s="353"/>
      <c r="H22" s="358">
        <v>400000</v>
      </c>
      <c r="I22" s="355">
        <f t="shared" si="1"/>
        <v>550000</v>
      </c>
      <c r="J22" s="84">
        <f t="shared" si="0"/>
        <v>550000</v>
      </c>
      <c r="K22" s="84"/>
      <c r="L22" s="84"/>
    </row>
    <row r="23" spans="1:12" s="27" customFormat="1" ht="19.5" customHeight="1">
      <c r="A23" s="8">
        <v>801</v>
      </c>
      <c r="B23" s="8"/>
      <c r="C23" s="8" t="s">
        <v>262</v>
      </c>
      <c r="D23" s="9">
        <v>12431516</v>
      </c>
      <c r="E23" s="9">
        <v>6431516</v>
      </c>
      <c r="F23" s="9">
        <v>6000000</v>
      </c>
      <c r="G23" s="352"/>
      <c r="H23" s="143">
        <f>H26+H24</f>
        <v>-59239</v>
      </c>
      <c r="I23" s="144">
        <f t="shared" si="1"/>
        <v>12372277</v>
      </c>
      <c r="J23" s="9">
        <f t="shared" si="0"/>
        <v>6372277</v>
      </c>
      <c r="K23" s="9">
        <f>F23</f>
        <v>6000000</v>
      </c>
      <c r="L23" s="9"/>
    </row>
    <row r="24" spans="1:12" s="27" customFormat="1" ht="19.5" customHeight="1">
      <c r="A24" s="13"/>
      <c r="B24" s="70">
        <v>80110</v>
      </c>
      <c r="C24" s="70" t="s">
        <v>110</v>
      </c>
      <c r="D24" s="244">
        <v>2846515</v>
      </c>
      <c r="E24" s="244">
        <v>2846515</v>
      </c>
      <c r="F24" s="244"/>
      <c r="G24" s="354"/>
      <c r="H24" s="359">
        <f>H25</f>
        <v>-63239</v>
      </c>
      <c r="I24" s="356">
        <f>D24+H24</f>
        <v>2783276</v>
      </c>
      <c r="J24" s="244">
        <f>E24+H24</f>
        <v>2783276</v>
      </c>
      <c r="K24" s="244"/>
      <c r="L24" s="244"/>
    </row>
    <row r="25" spans="1:12" s="27" customFormat="1" ht="19.5" customHeight="1">
      <c r="A25" s="13"/>
      <c r="B25" s="70"/>
      <c r="C25" s="29" t="s">
        <v>805</v>
      </c>
      <c r="D25" s="740">
        <v>546515</v>
      </c>
      <c r="E25" s="740">
        <v>546515</v>
      </c>
      <c r="F25" s="244"/>
      <c r="G25" s="354"/>
      <c r="H25" s="741">
        <v>-63239</v>
      </c>
      <c r="I25" s="355">
        <f>D25+H25</f>
        <v>483276</v>
      </c>
      <c r="J25" s="84">
        <f>E25+H25</f>
        <v>483276</v>
      </c>
      <c r="K25" s="244"/>
      <c r="L25" s="244"/>
    </row>
    <row r="26" spans="1:12" s="27" customFormat="1" ht="19.5" customHeight="1">
      <c r="A26" s="13"/>
      <c r="B26" s="70">
        <v>80130</v>
      </c>
      <c r="C26" s="70" t="s">
        <v>445</v>
      </c>
      <c r="D26" s="244">
        <v>6204513</v>
      </c>
      <c r="E26" s="244">
        <v>204513</v>
      </c>
      <c r="F26" s="244">
        <v>6000000</v>
      </c>
      <c r="G26" s="354"/>
      <c r="H26" s="359">
        <f>H27</f>
        <v>4000</v>
      </c>
      <c r="I26" s="356">
        <f t="shared" si="1"/>
        <v>6208513</v>
      </c>
      <c r="J26" s="244">
        <f t="shared" si="0"/>
        <v>208513</v>
      </c>
      <c r="K26" s="244">
        <f>F26</f>
        <v>6000000</v>
      </c>
      <c r="L26" s="244"/>
    </row>
    <row r="27" spans="1:12" s="27" customFormat="1" ht="19.5" customHeight="1">
      <c r="A27" s="29"/>
      <c r="B27" s="29"/>
      <c r="C27" s="83" t="s">
        <v>213</v>
      </c>
      <c r="D27" s="84">
        <v>4513</v>
      </c>
      <c r="E27" s="84">
        <v>4513</v>
      </c>
      <c r="F27" s="84"/>
      <c r="G27" s="353"/>
      <c r="H27" s="358">
        <v>4000</v>
      </c>
      <c r="I27" s="355">
        <f t="shared" si="1"/>
        <v>8513</v>
      </c>
      <c r="J27" s="84">
        <f t="shared" si="0"/>
        <v>8513</v>
      </c>
      <c r="K27" s="84"/>
      <c r="L27" s="84"/>
    </row>
    <row r="28" spans="1:12" s="27" customFormat="1" ht="19.5" customHeight="1">
      <c r="A28" s="8">
        <v>851</v>
      </c>
      <c r="B28" s="8"/>
      <c r="C28" s="8" t="s">
        <v>337</v>
      </c>
      <c r="D28" s="9">
        <v>1147000</v>
      </c>
      <c r="E28" s="9">
        <v>1147000</v>
      </c>
      <c r="F28" s="9"/>
      <c r="G28" s="352"/>
      <c r="H28" s="143">
        <f>H29</f>
        <v>30000</v>
      </c>
      <c r="I28" s="144">
        <f t="shared" si="1"/>
        <v>1177000</v>
      </c>
      <c r="J28" s="9">
        <f t="shared" si="0"/>
        <v>1177000</v>
      </c>
      <c r="K28" s="9"/>
      <c r="L28" s="9"/>
    </row>
    <row r="29" spans="1:12" s="27" customFormat="1" ht="19.5" customHeight="1">
      <c r="A29" s="13"/>
      <c r="B29" s="70">
        <v>85154</v>
      </c>
      <c r="C29" s="70" t="s">
        <v>359</v>
      </c>
      <c r="D29" s="244">
        <v>581000</v>
      </c>
      <c r="E29" s="244">
        <v>581000</v>
      </c>
      <c r="F29" s="244"/>
      <c r="G29" s="354"/>
      <c r="H29" s="359">
        <f>H30</f>
        <v>30000</v>
      </c>
      <c r="I29" s="356">
        <f t="shared" si="1"/>
        <v>611000</v>
      </c>
      <c r="J29" s="244">
        <f t="shared" si="0"/>
        <v>611000</v>
      </c>
      <c r="K29" s="244"/>
      <c r="L29" s="244"/>
    </row>
    <row r="30" spans="1:12" s="27" customFormat="1" ht="19.5" customHeight="1">
      <c r="A30" s="29"/>
      <c r="B30" s="29"/>
      <c r="C30" s="83" t="s">
        <v>448</v>
      </c>
      <c r="D30" s="84">
        <v>500000</v>
      </c>
      <c r="E30" s="84">
        <v>500000</v>
      </c>
      <c r="F30" s="84"/>
      <c r="G30" s="353"/>
      <c r="H30" s="358">
        <v>30000</v>
      </c>
      <c r="I30" s="355">
        <f t="shared" si="1"/>
        <v>530000</v>
      </c>
      <c r="J30" s="84">
        <f t="shared" si="0"/>
        <v>530000</v>
      </c>
      <c r="K30" s="84"/>
      <c r="L30" s="84"/>
    </row>
    <row r="31" spans="1:12" s="27" customFormat="1" ht="19.5" customHeight="1">
      <c r="A31" s="558"/>
      <c r="B31" s="558"/>
      <c r="C31" s="703"/>
      <c r="D31" s="705"/>
      <c r="E31" s="705"/>
      <c r="F31" s="705"/>
      <c r="G31" s="705"/>
      <c r="H31" s="705"/>
      <c r="I31" s="705"/>
      <c r="J31" s="705"/>
      <c r="K31" s="705"/>
      <c r="L31" s="705"/>
    </row>
    <row r="32" spans="1:12" s="27" customFormat="1" ht="19.5" customHeight="1">
      <c r="A32" s="8">
        <v>854</v>
      </c>
      <c r="B32" s="8"/>
      <c r="C32" s="8" t="s">
        <v>280</v>
      </c>
      <c r="D32" s="9">
        <v>220669</v>
      </c>
      <c r="E32" s="9">
        <v>220669</v>
      </c>
      <c r="F32" s="9"/>
      <c r="G32" s="352"/>
      <c r="H32" s="143">
        <f>H33</f>
        <v>4300</v>
      </c>
      <c r="I32" s="144">
        <f t="shared" si="1"/>
        <v>224969</v>
      </c>
      <c r="J32" s="9">
        <f t="shared" si="0"/>
        <v>224969</v>
      </c>
      <c r="K32" s="9"/>
      <c r="L32" s="9"/>
    </row>
    <row r="33" spans="1:12" s="27" customFormat="1" ht="19.5" customHeight="1">
      <c r="A33" s="13"/>
      <c r="B33" s="70">
        <v>85404</v>
      </c>
      <c r="C33" s="70" t="s">
        <v>429</v>
      </c>
      <c r="D33" s="244"/>
      <c r="E33" s="244"/>
      <c r="F33" s="244"/>
      <c r="G33" s="354"/>
      <c r="H33" s="359">
        <f>H34</f>
        <v>4300</v>
      </c>
      <c r="I33" s="356">
        <f>H33</f>
        <v>4300</v>
      </c>
      <c r="J33" s="244">
        <f>H33</f>
        <v>4300</v>
      </c>
      <c r="K33" s="244"/>
      <c r="L33" s="244"/>
    </row>
    <row r="34" spans="1:12" s="27" customFormat="1" ht="19.5" customHeight="1">
      <c r="A34" s="29"/>
      <c r="B34" s="29"/>
      <c r="C34" s="83" t="s">
        <v>213</v>
      </c>
      <c r="D34" s="84"/>
      <c r="E34" s="84"/>
      <c r="F34" s="84"/>
      <c r="G34" s="353"/>
      <c r="H34" s="358">
        <v>4300</v>
      </c>
      <c r="I34" s="355">
        <f>H34</f>
        <v>4300</v>
      </c>
      <c r="J34" s="84">
        <f>H34</f>
        <v>4300</v>
      </c>
      <c r="K34" s="84"/>
      <c r="L34" s="84"/>
    </row>
    <row r="35" spans="1:12" s="27" customFormat="1" ht="21.75" customHeight="1">
      <c r="A35" s="95">
        <v>921</v>
      </c>
      <c r="B35" s="8"/>
      <c r="C35" s="56" t="s">
        <v>251</v>
      </c>
      <c r="D35" s="9">
        <v>2252000</v>
      </c>
      <c r="E35" s="9">
        <v>2252000</v>
      </c>
      <c r="F35" s="9"/>
      <c r="G35" s="352"/>
      <c r="H35" s="357">
        <f>H36</f>
        <v>140000</v>
      </c>
      <c r="I35" s="144">
        <f>SUM(J35:L35)</f>
        <v>2392000</v>
      </c>
      <c r="J35" s="9">
        <f>E35+H35</f>
        <v>2392000</v>
      </c>
      <c r="K35" s="9"/>
      <c r="L35" s="9"/>
    </row>
    <row r="36" spans="1:12" s="27" customFormat="1" ht="19.5" customHeight="1">
      <c r="A36" s="13"/>
      <c r="B36" s="70">
        <v>92105</v>
      </c>
      <c r="C36" s="70" t="s">
        <v>252</v>
      </c>
      <c r="D36" s="244">
        <v>1280000</v>
      </c>
      <c r="E36" s="244">
        <v>1280000</v>
      </c>
      <c r="F36" s="244"/>
      <c r="G36" s="354"/>
      <c r="H36" s="359">
        <f>H37</f>
        <v>140000</v>
      </c>
      <c r="I36" s="356">
        <f>SUM(J36:L36)</f>
        <v>1420000</v>
      </c>
      <c r="J36" s="244">
        <f>E36+H36</f>
        <v>1420000</v>
      </c>
      <c r="K36" s="244"/>
      <c r="L36" s="244"/>
    </row>
    <row r="37" spans="1:12" s="27" customFormat="1" ht="19.5" customHeight="1">
      <c r="A37" s="13"/>
      <c r="B37" s="85"/>
      <c r="C37" s="83" t="s">
        <v>202</v>
      </c>
      <c r="D37" s="84">
        <v>1280000</v>
      </c>
      <c r="E37" s="84">
        <v>1280000</v>
      </c>
      <c r="F37" s="84"/>
      <c r="G37" s="353"/>
      <c r="H37" s="358">
        <v>140000</v>
      </c>
      <c r="I37" s="355">
        <f>SUM(J37:L37)</f>
        <v>1420000</v>
      </c>
      <c r="J37" s="84">
        <f>E37+H37</f>
        <v>1420000</v>
      </c>
      <c r="K37" s="84"/>
      <c r="L37" s="84"/>
    </row>
    <row r="38" spans="1:12" ht="30.75" customHeight="1" thickBot="1">
      <c r="A38" s="76"/>
      <c r="B38" s="76"/>
      <c r="C38" s="138" t="s">
        <v>264</v>
      </c>
      <c r="D38" s="139">
        <v>161000</v>
      </c>
      <c r="E38" s="139">
        <v>135000</v>
      </c>
      <c r="F38" s="139">
        <v>26000</v>
      </c>
      <c r="G38" s="146"/>
      <c r="H38" s="140"/>
      <c r="I38" s="141">
        <f>SUM(J38:L38)</f>
        <v>161000</v>
      </c>
      <c r="J38" s="139">
        <f>E38</f>
        <v>135000</v>
      </c>
      <c r="K38" s="139">
        <f>F38</f>
        <v>26000</v>
      </c>
      <c r="L38" s="139"/>
    </row>
    <row r="39" spans="1:12" ht="19.5" customHeight="1" thickTop="1">
      <c r="A39" s="77"/>
      <c r="B39" s="77"/>
      <c r="C39" s="147" t="s">
        <v>275</v>
      </c>
      <c r="D39" s="148">
        <v>175000</v>
      </c>
      <c r="E39" s="148"/>
      <c r="F39" s="148"/>
      <c r="G39" s="149">
        <v>175000</v>
      </c>
      <c r="H39" s="150"/>
      <c r="I39" s="151">
        <f>SUM(J39:L39)</f>
        <v>175000</v>
      </c>
      <c r="J39" s="148"/>
      <c r="K39" s="148"/>
      <c r="L39" s="148">
        <f>G39+H39</f>
        <v>175000</v>
      </c>
    </row>
  </sheetData>
  <mergeCells count="1">
    <mergeCell ref="D6:D7"/>
  </mergeCells>
  <printOptions horizontalCentered="1"/>
  <pageMargins left="0.3937007874015748" right="0.3937007874015748" top="0.3937007874015748" bottom="0.3937007874015748" header="0.5118110236220472" footer="0.1968503937007874"/>
  <pageSetup firstPageNumber="10" useFirstPageNumber="1" horizontalDpi="300" verticalDpi="3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="75" zoomScaleNormal="75" workbookViewId="0" topLeftCell="A1">
      <selection activeCell="D10" sqref="D10"/>
    </sheetView>
  </sheetViews>
  <sheetFormatPr defaultColWidth="9.00390625" defaultRowHeight="12.75"/>
  <cols>
    <col min="1" max="1" width="8.625" style="27" customWidth="1"/>
    <col min="2" max="2" width="9.625" style="27" customWidth="1"/>
    <col min="3" max="3" width="70.00390625" style="27" customWidth="1"/>
    <col min="4" max="4" width="21.25390625" style="27" bestFit="1" customWidth="1"/>
    <col min="5" max="5" width="15.75390625" style="27" hidden="1" customWidth="1"/>
    <col min="6" max="7" width="18.75390625" style="27" customWidth="1"/>
    <col min="8" max="8" width="11.375" style="27" customWidth="1"/>
    <col min="9" max="9" width="9.125" style="27" customWidth="1"/>
    <col min="10" max="16384" width="7.875" style="27" customWidth="1"/>
  </cols>
  <sheetData>
    <row r="1" spans="5:7" ht="13.5" customHeight="1">
      <c r="E1" s="153"/>
      <c r="F1" s="153" t="s">
        <v>242</v>
      </c>
      <c r="G1" s="153"/>
    </row>
    <row r="2" ht="13.5" customHeight="1">
      <c r="F2" s="27" t="s">
        <v>834</v>
      </c>
    </row>
    <row r="3" spans="3:6" ht="15" customHeight="1">
      <c r="C3" s="24" t="s">
        <v>276</v>
      </c>
      <c r="E3" s="153"/>
      <c r="F3" s="27" t="s">
        <v>246</v>
      </c>
    </row>
    <row r="4" spans="5:6" ht="14.25" customHeight="1">
      <c r="E4" s="153"/>
      <c r="F4" s="27" t="s">
        <v>833</v>
      </c>
    </row>
    <row r="5" ht="15" customHeight="1"/>
    <row r="6" spans="4:7" ht="12.75" customHeight="1" thickBot="1">
      <c r="D6" s="32"/>
      <c r="E6" s="32"/>
      <c r="F6" s="32"/>
      <c r="G6" s="93" t="s">
        <v>332</v>
      </c>
    </row>
    <row r="7" spans="1:7" ht="10.5" customHeight="1" thickTop="1">
      <c r="A7" s="80"/>
      <c r="B7" s="80"/>
      <c r="C7" s="80"/>
      <c r="D7" s="745" t="s">
        <v>283</v>
      </c>
      <c r="E7" s="154"/>
      <c r="F7" s="154"/>
      <c r="G7" s="154"/>
    </row>
    <row r="8" spans="1:7" ht="71.25" customHeight="1" thickBot="1">
      <c r="A8" s="81" t="s">
        <v>218</v>
      </c>
      <c r="B8" s="81" t="s">
        <v>329</v>
      </c>
      <c r="C8" s="17" t="s">
        <v>277</v>
      </c>
      <c r="D8" s="747"/>
      <c r="E8" s="155" t="s">
        <v>214</v>
      </c>
      <c r="F8" s="155" t="s">
        <v>271</v>
      </c>
      <c r="G8" s="155" t="s">
        <v>227</v>
      </c>
    </row>
    <row r="9" spans="1:7" ht="16.5" customHeight="1" thickBot="1" thickTop="1">
      <c r="A9" s="156">
        <v>1</v>
      </c>
      <c r="B9" s="156">
        <v>2</v>
      </c>
      <c r="C9" s="156">
        <v>3</v>
      </c>
      <c r="D9" s="103">
        <v>4</v>
      </c>
      <c r="E9" s="103">
        <v>5</v>
      </c>
      <c r="F9" s="103">
        <v>5</v>
      </c>
      <c r="G9" s="103">
        <v>6</v>
      </c>
    </row>
    <row r="10" spans="1:9" ht="20.25" customHeight="1" thickBot="1" thickTop="1">
      <c r="A10" s="44"/>
      <c r="B10" s="44"/>
      <c r="C10" s="82" t="s">
        <v>278</v>
      </c>
      <c r="D10" s="157">
        <v>10492342</v>
      </c>
      <c r="E10" s="157"/>
      <c r="F10" s="157">
        <f>F12+F39</f>
        <v>190139</v>
      </c>
      <c r="G10" s="157">
        <f>D10-E10+F10</f>
        <v>10682481</v>
      </c>
      <c r="H10" s="33"/>
      <c r="I10" s="33"/>
    </row>
    <row r="11" spans="1:7" ht="14.25" customHeight="1" thickTop="1">
      <c r="A11" s="13"/>
      <c r="B11" s="13"/>
      <c r="C11" s="158" t="s">
        <v>224</v>
      </c>
      <c r="D11" s="159"/>
      <c r="E11" s="159"/>
      <c r="F11" s="159"/>
      <c r="G11" s="159"/>
    </row>
    <row r="12" spans="1:7" s="31" customFormat="1" ht="19.5" customHeight="1" thickBot="1">
      <c r="A12" s="23"/>
      <c r="B12" s="23"/>
      <c r="C12" s="160" t="s">
        <v>279</v>
      </c>
      <c r="D12" s="161">
        <v>10354442</v>
      </c>
      <c r="E12" s="161"/>
      <c r="F12" s="161">
        <f>F30+F33+F36+F22+F13</f>
        <v>190139</v>
      </c>
      <c r="G12" s="161">
        <f aca="true" t="shared" si="0" ref="G12:G39">D12-E12+F12</f>
        <v>10544581</v>
      </c>
    </row>
    <row r="13" spans="1:7" s="31" customFormat="1" ht="19.5" customHeight="1" thickTop="1">
      <c r="A13" s="55">
        <v>700</v>
      </c>
      <c r="B13" s="55"/>
      <c r="C13" s="162" t="s">
        <v>810</v>
      </c>
      <c r="D13" s="105">
        <v>4995000</v>
      </c>
      <c r="E13" s="105"/>
      <c r="F13" s="105">
        <f>F14</f>
        <v>0</v>
      </c>
      <c r="G13" s="105">
        <f t="shared" si="0"/>
        <v>4995000</v>
      </c>
    </row>
    <row r="14" spans="1:7" s="31" customFormat="1" ht="19.5" customHeight="1">
      <c r="A14" s="170"/>
      <c r="B14" s="22">
        <v>70001</v>
      </c>
      <c r="C14" s="167" t="s">
        <v>811</v>
      </c>
      <c r="D14" s="107">
        <v>4900000</v>
      </c>
      <c r="E14" s="171"/>
      <c r="F14" s="171">
        <f>F15+F18</f>
        <v>0</v>
      </c>
      <c r="G14" s="171">
        <f t="shared" si="0"/>
        <v>4900000</v>
      </c>
    </row>
    <row r="15" spans="1:7" s="31" customFormat="1" ht="19.5" customHeight="1">
      <c r="A15" s="16"/>
      <c r="B15" s="16"/>
      <c r="C15" s="718" t="s">
        <v>812</v>
      </c>
      <c r="D15" s="717">
        <v>2015000</v>
      </c>
      <c r="E15" s="717"/>
      <c r="F15" s="717">
        <f>F16</f>
        <v>-40000</v>
      </c>
      <c r="G15" s="717">
        <f aca="true" t="shared" si="1" ref="G15:G21">D15+F15</f>
        <v>1975000</v>
      </c>
    </row>
    <row r="16" spans="1:7" s="31" customFormat="1" ht="19.5" customHeight="1">
      <c r="A16" s="16"/>
      <c r="B16" s="16"/>
      <c r="C16" s="716" t="s">
        <v>813</v>
      </c>
      <c r="D16" s="722">
        <v>1795000</v>
      </c>
      <c r="E16" s="722"/>
      <c r="F16" s="722">
        <f>F17</f>
        <v>-40000</v>
      </c>
      <c r="G16" s="722">
        <f t="shared" si="1"/>
        <v>1755000</v>
      </c>
    </row>
    <row r="17" spans="1:7" s="31" customFormat="1" ht="19.5" customHeight="1">
      <c r="A17" s="16"/>
      <c r="B17" s="16"/>
      <c r="C17" s="339" t="s">
        <v>814</v>
      </c>
      <c r="D17" s="720">
        <v>680000</v>
      </c>
      <c r="E17" s="720"/>
      <c r="F17" s="720">
        <v>-40000</v>
      </c>
      <c r="G17" s="720">
        <f t="shared" si="1"/>
        <v>640000</v>
      </c>
    </row>
    <row r="18" spans="1:7" s="31" customFormat="1" ht="19.5" customHeight="1">
      <c r="A18" s="16"/>
      <c r="B18" s="16"/>
      <c r="C18" s="719" t="s">
        <v>815</v>
      </c>
      <c r="D18" s="721">
        <v>2055000</v>
      </c>
      <c r="E18" s="721"/>
      <c r="F18" s="721">
        <f>F19</f>
        <v>40000</v>
      </c>
      <c r="G18" s="721">
        <f t="shared" si="1"/>
        <v>2095000</v>
      </c>
    </row>
    <row r="19" spans="1:7" s="31" customFormat="1" ht="19.5" customHeight="1">
      <c r="A19" s="16"/>
      <c r="B19" s="16"/>
      <c r="C19" s="716" t="s">
        <v>813</v>
      </c>
      <c r="D19" s="722">
        <v>1950000</v>
      </c>
      <c r="E19" s="722"/>
      <c r="F19" s="722">
        <f>SUM(F20:F21)</f>
        <v>40000</v>
      </c>
      <c r="G19" s="722">
        <f t="shared" si="1"/>
        <v>1990000</v>
      </c>
    </row>
    <row r="20" spans="1:7" s="31" customFormat="1" ht="19.5" customHeight="1">
      <c r="A20" s="16"/>
      <c r="B20" s="16"/>
      <c r="C20" s="336" t="s">
        <v>816</v>
      </c>
      <c r="D20" s="720">
        <v>1400000</v>
      </c>
      <c r="E20" s="720"/>
      <c r="F20" s="720">
        <v>80000</v>
      </c>
      <c r="G20" s="720">
        <f t="shared" si="1"/>
        <v>1480000</v>
      </c>
    </row>
    <row r="21" spans="1:7" s="31" customFormat="1" ht="19.5" customHeight="1">
      <c r="A21" s="23"/>
      <c r="B21" s="23"/>
      <c r="C21" s="316" t="s">
        <v>817</v>
      </c>
      <c r="D21" s="723">
        <v>550000</v>
      </c>
      <c r="E21" s="723"/>
      <c r="F21" s="723">
        <v>-40000</v>
      </c>
      <c r="G21" s="723">
        <f t="shared" si="1"/>
        <v>510000</v>
      </c>
    </row>
    <row r="22" spans="1:7" s="31" customFormat="1" ht="18.75" customHeight="1">
      <c r="A22" s="166">
        <v>801</v>
      </c>
      <c r="B22" s="166"/>
      <c r="C22" s="162" t="s">
        <v>262</v>
      </c>
      <c r="D22" s="105">
        <v>388519</v>
      </c>
      <c r="E22" s="105"/>
      <c r="F22" s="105">
        <f>F27+F25+F23</f>
        <v>70839</v>
      </c>
      <c r="G22" s="105">
        <f t="shared" si="0"/>
        <v>459358</v>
      </c>
    </row>
    <row r="23" spans="1:8" s="173" customFormat="1" ht="18.75" customHeight="1">
      <c r="A23" s="63"/>
      <c r="B23" s="22">
        <v>80101</v>
      </c>
      <c r="C23" s="167" t="s">
        <v>450</v>
      </c>
      <c r="D23" s="107">
        <v>33610</v>
      </c>
      <c r="E23" s="171"/>
      <c r="F23" s="171">
        <f>F24</f>
        <v>50000</v>
      </c>
      <c r="G23" s="171">
        <f t="shared" si="0"/>
        <v>83610</v>
      </c>
      <c r="H23" s="172"/>
    </row>
    <row r="24" spans="1:7" s="72" customFormat="1" ht="18.75" customHeight="1">
      <c r="A24" s="63"/>
      <c r="B24" s="22"/>
      <c r="C24" s="169" t="s">
        <v>455</v>
      </c>
      <c r="D24" s="174">
        <v>33610</v>
      </c>
      <c r="E24" s="174"/>
      <c r="F24" s="174">
        <v>50000</v>
      </c>
      <c r="G24" s="174">
        <f t="shared" si="0"/>
        <v>83610</v>
      </c>
    </row>
    <row r="25" spans="1:8" s="173" customFormat="1" ht="18.75" customHeight="1">
      <c r="A25" s="63"/>
      <c r="B25" s="22">
        <v>80110</v>
      </c>
      <c r="C25" s="167" t="s">
        <v>110</v>
      </c>
      <c r="D25" s="107">
        <v>139977</v>
      </c>
      <c r="E25" s="171"/>
      <c r="F25" s="171">
        <f>F26</f>
        <v>13239</v>
      </c>
      <c r="G25" s="171">
        <f t="shared" si="0"/>
        <v>153216</v>
      </c>
      <c r="H25" s="172"/>
    </row>
    <row r="26" spans="1:7" s="72" customFormat="1" ht="18.75" customHeight="1">
      <c r="A26" s="63"/>
      <c r="B26" s="22"/>
      <c r="C26" s="169" t="s">
        <v>455</v>
      </c>
      <c r="D26" s="174">
        <v>139977</v>
      </c>
      <c r="E26" s="174"/>
      <c r="F26" s="174">
        <v>13239</v>
      </c>
      <c r="G26" s="174">
        <f t="shared" si="0"/>
        <v>153216</v>
      </c>
    </row>
    <row r="27" spans="1:8" s="173" customFormat="1" ht="18.75" customHeight="1">
      <c r="A27" s="63"/>
      <c r="B27" s="22">
        <v>80120</v>
      </c>
      <c r="C27" s="167" t="s">
        <v>453</v>
      </c>
      <c r="D27" s="107">
        <v>125725</v>
      </c>
      <c r="E27" s="171"/>
      <c r="F27" s="171">
        <f>F28</f>
        <v>7600</v>
      </c>
      <c r="G27" s="171">
        <f t="shared" si="0"/>
        <v>133325</v>
      </c>
      <c r="H27" s="172"/>
    </row>
    <row r="28" spans="1:7" s="72" customFormat="1" ht="18.75" customHeight="1">
      <c r="A28" s="368"/>
      <c r="B28" s="22"/>
      <c r="C28" s="169" t="s">
        <v>455</v>
      </c>
      <c r="D28" s="174">
        <v>125725</v>
      </c>
      <c r="E28" s="174"/>
      <c r="F28" s="174">
        <v>7600</v>
      </c>
      <c r="G28" s="174">
        <f t="shared" si="0"/>
        <v>133325</v>
      </c>
    </row>
    <row r="29" spans="1:7" s="72" customFormat="1" ht="18.75" customHeight="1">
      <c r="A29" s="737"/>
      <c r="B29" s="724"/>
      <c r="C29" s="725"/>
      <c r="D29" s="726"/>
      <c r="E29" s="726"/>
      <c r="F29" s="726"/>
      <c r="G29" s="726"/>
    </row>
    <row r="30" spans="1:7" s="31" customFormat="1" ht="18.75" customHeight="1">
      <c r="A30" s="55">
        <v>853</v>
      </c>
      <c r="B30" s="55"/>
      <c r="C30" s="162" t="s">
        <v>216</v>
      </c>
      <c r="D30" s="105">
        <v>261500</v>
      </c>
      <c r="E30" s="105"/>
      <c r="F30" s="105">
        <f>F31</f>
        <v>25000</v>
      </c>
      <c r="G30" s="105">
        <f t="shared" si="0"/>
        <v>286500</v>
      </c>
    </row>
    <row r="31" spans="1:8" s="173" customFormat="1" ht="18.75" customHeight="1">
      <c r="A31" s="63"/>
      <c r="B31" s="22">
        <v>85302</v>
      </c>
      <c r="C31" s="167" t="s">
        <v>204</v>
      </c>
      <c r="D31" s="107">
        <v>82000</v>
      </c>
      <c r="E31" s="171"/>
      <c r="F31" s="171">
        <f>F32</f>
        <v>25000</v>
      </c>
      <c r="G31" s="171">
        <f t="shared" si="0"/>
        <v>107000</v>
      </c>
      <c r="H31" s="172"/>
    </row>
    <row r="32" spans="1:7" s="72" customFormat="1" ht="18.75" customHeight="1">
      <c r="A32" s="63"/>
      <c r="B32" s="22"/>
      <c r="C32" s="169" t="s">
        <v>201</v>
      </c>
      <c r="D32" s="174">
        <v>82000</v>
      </c>
      <c r="E32" s="174"/>
      <c r="F32" s="174">
        <v>25000</v>
      </c>
      <c r="G32" s="174">
        <f t="shared" si="0"/>
        <v>107000</v>
      </c>
    </row>
    <row r="33" spans="1:7" s="31" customFormat="1" ht="18.75" customHeight="1">
      <c r="A33" s="166">
        <v>854</v>
      </c>
      <c r="B33" s="166"/>
      <c r="C33" s="162" t="s">
        <v>280</v>
      </c>
      <c r="D33" s="105">
        <v>257403</v>
      </c>
      <c r="E33" s="105"/>
      <c r="F33" s="105">
        <f>F34</f>
        <v>14300</v>
      </c>
      <c r="G33" s="374">
        <f t="shared" si="0"/>
        <v>271703</v>
      </c>
    </row>
    <row r="34" spans="1:8" s="173" customFormat="1" ht="18.75" customHeight="1">
      <c r="A34" s="63"/>
      <c r="B34" s="22">
        <v>85404</v>
      </c>
      <c r="C34" s="167" t="s">
        <v>429</v>
      </c>
      <c r="D34" s="107">
        <v>203153</v>
      </c>
      <c r="E34" s="171"/>
      <c r="F34" s="171">
        <f>F35</f>
        <v>14300</v>
      </c>
      <c r="G34" s="375">
        <f t="shared" si="0"/>
        <v>217453</v>
      </c>
      <c r="H34" s="172"/>
    </row>
    <row r="35" spans="1:7" s="72" customFormat="1" ht="18.75" customHeight="1">
      <c r="A35" s="368"/>
      <c r="B35" s="22"/>
      <c r="C35" s="169" t="s">
        <v>362</v>
      </c>
      <c r="D35" s="174">
        <v>203153</v>
      </c>
      <c r="E35" s="174"/>
      <c r="F35" s="174">
        <v>14300</v>
      </c>
      <c r="G35" s="376">
        <f t="shared" si="0"/>
        <v>217453</v>
      </c>
    </row>
    <row r="36" spans="1:7" s="72" customFormat="1" ht="18.75" customHeight="1">
      <c r="A36" s="370">
        <v>900</v>
      </c>
      <c r="B36" s="370"/>
      <c r="C36" s="371" t="s">
        <v>353</v>
      </c>
      <c r="D36" s="374">
        <v>182520</v>
      </c>
      <c r="E36" s="374"/>
      <c r="F36" s="374">
        <f>F37</f>
        <v>80000</v>
      </c>
      <c r="G36" s="374">
        <f t="shared" si="0"/>
        <v>262520</v>
      </c>
    </row>
    <row r="37" spans="1:7" s="72" customFormat="1" ht="18.75" customHeight="1">
      <c r="A37" s="63"/>
      <c r="B37" s="249">
        <v>90001</v>
      </c>
      <c r="C37" s="372" t="s">
        <v>200</v>
      </c>
      <c r="D37" s="375">
        <v>150000</v>
      </c>
      <c r="E37" s="375"/>
      <c r="F37" s="375">
        <f>F38</f>
        <v>80000</v>
      </c>
      <c r="G37" s="375">
        <f t="shared" si="0"/>
        <v>230000</v>
      </c>
    </row>
    <row r="38" spans="1:7" s="72" customFormat="1" ht="18.75" customHeight="1">
      <c r="A38" s="63"/>
      <c r="B38" s="63"/>
      <c r="C38" s="373" t="s">
        <v>388</v>
      </c>
      <c r="D38" s="376">
        <v>150000</v>
      </c>
      <c r="E38" s="376"/>
      <c r="F38" s="376">
        <v>80000</v>
      </c>
      <c r="G38" s="376">
        <f t="shared" si="0"/>
        <v>230000</v>
      </c>
    </row>
    <row r="39" spans="1:9" ht="18.75" customHeight="1">
      <c r="A39" s="175"/>
      <c r="B39" s="70"/>
      <c r="C39" s="478" t="s">
        <v>281</v>
      </c>
      <c r="D39" s="479">
        <v>137900</v>
      </c>
      <c r="E39" s="479"/>
      <c r="F39" s="479"/>
      <c r="G39" s="479">
        <f t="shared" si="0"/>
        <v>137900</v>
      </c>
      <c r="I39" s="28"/>
    </row>
  </sheetData>
  <mergeCells count="1">
    <mergeCell ref="D7:D8"/>
  </mergeCells>
  <printOptions horizontalCentered="1"/>
  <pageMargins left="0.3937007874015748" right="0.3937007874015748" top="0.6692913385826772" bottom="0.5905511811023623" header="0.5118110236220472" footer="0.3937007874015748"/>
  <pageSetup firstPageNumber="12" useFirstPageNumber="1" horizontalDpi="300" verticalDpi="3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 topLeftCell="B1">
      <selection activeCell="F9" sqref="F9"/>
    </sheetView>
  </sheetViews>
  <sheetFormatPr defaultColWidth="9.00390625" defaultRowHeight="12.75"/>
  <cols>
    <col min="1" max="1" width="6.125" style="0" customWidth="1"/>
    <col min="2" max="2" width="7.25390625" style="0" customWidth="1"/>
    <col min="3" max="3" width="50.625" style="0" customWidth="1"/>
    <col min="4" max="4" width="19.375" style="0" customWidth="1"/>
    <col min="5" max="5" width="14.00390625" style="0" customWidth="1"/>
    <col min="6" max="6" width="18.125" style="0" customWidth="1"/>
    <col min="7" max="7" width="34.25390625" style="0" customWidth="1"/>
  </cols>
  <sheetData>
    <row r="1" spans="3:8" ht="13.5" customHeight="1">
      <c r="C1" s="152"/>
      <c r="G1" s="153" t="s">
        <v>308</v>
      </c>
      <c r="H1" s="153"/>
    </row>
    <row r="2" spans="2:9" ht="13.5" customHeight="1">
      <c r="B2" s="24"/>
      <c r="C2" s="250" t="s">
        <v>360</v>
      </c>
      <c r="G2" s="27" t="s">
        <v>834</v>
      </c>
      <c r="H2" s="27"/>
      <c r="I2" s="360"/>
    </row>
    <row r="3" spans="2:9" ht="13.5" customHeight="1">
      <c r="B3" s="24"/>
      <c r="C3" s="250" t="s">
        <v>361</v>
      </c>
      <c r="G3" s="27" t="s">
        <v>246</v>
      </c>
      <c r="H3" s="153"/>
      <c r="I3" s="360"/>
    </row>
    <row r="4" spans="3:9" ht="13.5" customHeight="1">
      <c r="C4" s="152"/>
      <c r="G4" s="27" t="s">
        <v>833</v>
      </c>
      <c r="H4" s="153"/>
      <c r="I4" s="360"/>
    </row>
    <row r="5" ht="8.25" customHeight="1">
      <c r="C5" s="152"/>
    </row>
    <row r="6" spans="3:7" ht="13.5" customHeight="1" thickBot="1">
      <c r="C6" s="152"/>
      <c r="G6" s="690" t="s">
        <v>332</v>
      </c>
    </row>
    <row r="7" spans="1:7" ht="80.25" customHeight="1" thickBot="1" thickTop="1">
      <c r="A7" s="42" t="s">
        <v>328</v>
      </c>
      <c r="B7" s="42" t="s">
        <v>329</v>
      </c>
      <c r="C7" s="42" t="s">
        <v>209</v>
      </c>
      <c r="D7" s="42" t="s">
        <v>284</v>
      </c>
      <c r="E7" s="42" t="s">
        <v>215</v>
      </c>
      <c r="F7" s="42" t="s">
        <v>357</v>
      </c>
      <c r="G7" s="42" t="s">
        <v>210</v>
      </c>
    </row>
    <row r="8" spans="1:7" s="361" customFormat="1" ht="13.5" customHeight="1" thickBot="1" thickTop="1">
      <c r="A8" s="25">
        <v>1</v>
      </c>
      <c r="B8" s="25">
        <v>2</v>
      </c>
      <c r="C8" s="64">
        <v>3</v>
      </c>
      <c r="D8" s="25">
        <v>4</v>
      </c>
      <c r="E8" s="25">
        <v>5</v>
      </c>
      <c r="F8" s="25">
        <v>6</v>
      </c>
      <c r="G8" s="25">
        <v>7</v>
      </c>
    </row>
    <row r="9" spans="1:7" s="367" customFormat="1" ht="19.5" customHeight="1" thickBot="1" thickTop="1">
      <c r="A9" s="483"/>
      <c r="B9" s="484"/>
      <c r="C9" s="485" t="s">
        <v>333</v>
      </c>
      <c r="D9" s="366">
        <v>21812340</v>
      </c>
      <c r="E9" s="366">
        <f>E11</f>
        <v>880</v>
      </c>
      <c r="F9" s="366">
        <f>E9+D9</f>
        <v>21813220</v>
      </c>
      <c r="G9" s="490"/>
    </row>
    <row r="10" spans="1:7" s="367" customFormat="1" ht="14.25" customHeight="1">
      <c r="A10" s="480"/>
      <c r="B10" s="481"/>
      <c r="C10" t="s">
        <v>224</v>
      </c>
      <c r="D10" s="482"/>
      <c r="E10" s="482"/>
      <c r="F10" s="482"/>
      <c r="G10" s="491"/>
    </row>
    <row r="11" spans="1:7" s="367" customFormat="1" ht="17.25" customHeight="1" thickBot="1">
      <c r="A11" s="486"/>
      <c r="B11" s="487"/>
      <c r="C11" s="488" t="s">
        <v>279</v>
      </c>
      <c r="D11" s="489">
        <v>19766618</v>
      </c>
      <c r="E11" s="489">
        <f>E12</f>
        <v>880</v>
      </c>
      <c r="F11" s="489">
        <f>D11+E11</f>
        <v>19767498</v>
      </c>
      <c r="G11" s="492"/>
    </row>
    <row r="12" spans="1:16" s="30" customFormat="1" ht="18.75" customHeight="1" thickTop="1">
      <c r="A12" s="55">
        <v>801</v>
      </c>
      <c r="B12" s="55"/>
      <c r="C12" s="55" t="s">
        <v>262</v>
      </c>
      <c r="D12" s="362">
        <v>10302418</v>
      </c>
      <c r="E12" s="362">
        <f>E13</f>
        <v>880</v>
      </c>
      <c r="F12" s="362">
        <f>E12+D12</f>
        <v>10303298</v>
      </c>
      <c r="G12" s="56"/>
      <c r="H12" s="250"/>
      <c r="I12" s="250"/>
      <c r="J12" s="250"/>
      <c r="K12" s="250"/>
      <c r="L12" s="250"/>
      <c r="M12" s="250"/>
      <c r="N12" s="250"/>
      <c r="O12" s="250"/>
      <c r="P12" s="250"/>
    </row>
    <row r="13" spans="1:16" s="30" customFormat="1" ht="19.5" customHeight="1">
      <c r="A13" s="363"/>
      <c r="B13" s="249">
        <v>80195</v>
      </c>
      <c r="C13" s="249" t="s">
        <v>235</v>
      </c>
      <c r="D13" s="364">
        <v>2418</v>
      </c>
      <c r="E13" s="364">
        <f>E14</f>
        <v>880</v>
      </c>
      <c r="F13" s="364">
        <f>E13+D13</f>
        <v>3298</v>
      </c>
      <c r="G13" s="316"/>
      <c r="H13" s="250"/>
      <c r="I13" s="250"/>
      <c r="J13" s="250"/>
      <c r="K13" s="250"/>
      <c r="L13" s="250"/>
      <c r="M13" s="250"/>
      <c r="N13" s="250"/>
      <c r="O13" s="250"/>
      <c r="P13" s="250"/>
    </row>
    <row r="14" spans="1:16" s="30" customFormat="1" ht="39.75" customHeight="1">
      <c r="A14" s="738"/>
      <c r="B14" s="453"/>
      <c r="C14" s="83" t="s">
        <v>440</v>
      </c>
      <c r="D14" s="365">
        <v>2418</v>
      </c>
      <c r="E14" s="365">
        <v>880</v>
      </c>
      <c r="F14" s="369">
        <f>E14+D14</f>
        <v>3298</v>
      </c>
      <c r="G14" s="83" t="s">
        <v>441</v>
      </c>
      <c r="H14" s="250"/>
      <c r="I14" s="250"/>
      <c r="J14" s="250"/>
      <c r="K14" s="250"/>
      <c r="L14" s="250"/>
      <c r="M14" s="250"/>
      <c r="N14" s="250"/>
      <c r="O14" s="250"/>
      <c r="P14" s="250"/>
    </row>
    <row r="15" spans="1:7" s="367" customFormat="1" ht="17.25" customHeight="1" thickBot="1">
      <c r="A15" s="480"/>
      <c r="B15" s="481"/>
      <c r="C15" s="488" t="s">
        <v>327</v>
      </c>
      <c r="D15" s="489">
        <v>397000</v>
      </c>
      <c r="E15" s="489"/>
      <c r="F15" s="489">
        <f>D15+E15</f>
        <v>397000</v>
      </c>
      <c r="G15" s="492"/>
    </row>
    <row r="16" spans="1:7" s="367" customFormat="1" ht="29.25" customHeight="1" thickBot="1" thickTop="1">
      <c r="A16" s="486"/>
      <c r="B16" s="487"/>
      <c r="C16" s="739" t="s">
        <v>281</v>
      </c>
      <c r="D16" s="489">
        <v>1648722</v>
      </c>
      <c r="E16" s="489"/>
      <c r="F16" s="489">
        <f>D16+E16</f>
        <v>1648722</v>
      </c>
      <c r="G16" s="492"/>
    </row>
    <row r="17" ht="13.5" thickTop="1"/>
  </sheetData>
  <printOptions horizontalCentered="1"/>
  <pageMargins left="0.5905511811023623" right="0.5905511811023623" top="0.6692913385826772" bottom="0.5905511811023623" header="0.5118110236220472" footer="0.3937007874015748"/>
  <pageSetup firstPageNumber="14" useFirstPageNumber="1" horizontalDpi="300" verticalDpi="300" orientation="landscape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D1">
      <selection activeCell="I10" sqref="I10"/>
    </sheetView>
  </sheetViews>
  <sheetFormatPr defaultColWidth="9.125" defaultRowHeight="12.75"/>
  <cols>
    <col min="1" max="1" width="6.125" style="27" customWidth="1"/>
    <col min="2" max="2" width="7.00390625" style="27" customWidth="1"/>
    <col min="3" max="3" width="6.00390625" style="27" customWidth="1"/>
    <col min="4" max="4" width="57.125" style="27" customWidth="1"/>
    <col min="5" max="5" width="20.00390625" style="27" customWidth="1"/>
    <col min="6" max="6" width="14.25390625" style="27" hidden="1" customWidth="1"/>
    <col min="7" max="7" width="12.75390625" style="27" customWidth="1"/>
    <col min="8" max="8" width="13.75390625" style="27" customWidth="1"/>
    <col min="9" max="9" width="18.75390625" style="27" customWidth="1"/>
    <col min="10" max="10" width="12.75390625" style="27" customWidth="1"/>
    <col min="11" max="11" width="13.75390625" style="27" customWidth="1"/>
  </cols>
  <sheetData>
    <row r="1" spans="2:10" ht="15" customHeight="1">
      <c r="B1" s="250"/>
      <c r="D1" s="79"/>
      <c r="J1" s="153" t="s">
        <v>307</v>
      </c>
    </row>
    <row r="2" spans="1:10" ht="15" customHeight="1">
      <c r="A2" s="251" t="s">
        <v>309</v>
      </c>
      <c r="B2" s="251"/>
      <c r="C2" s="251"/>
      <c r="D2" s="251"/>
      <c r="J2" s="27" t="s">
        <v>834</v>
      </c>
    </row>
    <row r="3" spans="1:10" ht="15" customHeight="1">
      <c r="A3" s="751" t="s">
        <v>310</v>
      </c>
      <c r="B3" s="751"/>
      <c r="C3" s="751"/>
      <c r="D3" s="751"/>
      <c r="J3" s="27" t="s">
        <v>246</v>
      </c>
    </row>
    <row r="4" spans="1:10" ht="15" customHeight="1">
      <c r="A4" s="751" t="s">
        <v>311</v>
      </c>
      <c r="B4" s="751"/>
      <c r="C4" s="751"/>
      <c r="D4" s="751"/>
      <c r="G4" s="3"/>
      <c r="J4" s="27" t="s">
        <v>833</v>
      </c>
    </row>
    <row r="5" spans="1:11" ht="9.75" customHeight="1">
      <c r="A5" s="252"/>
      <c r="B5" s="252"/>
      <c r="C5" s="252"/>
      <c r="D5" s="252"/>
      <c r="E5" s="253"/>
      <c r="F5" s="253"/>
      <c r="G5" s="253"/>
      <c r="H5" s="253"/>
      <c r="I5" s="253"/>
      <c r="J5" s="253"/>
      <c r="K5" s="253"/>
    </row>
    <row r="6" spans="5:11" ht="12" customHeight="1" thickBot="1">
      <c r="E6" s="32"/>
      <c r="F6" s="32"/>
      <c r="G6" s="32"/>
      <c r="H6" s="32"/>
      <c r="I6" s="32"/>
      <c r="J6" s="32"/>
      <c r="K6" s="93" t="s">
        <v>332</v>
      </c>
    </row>
    <row r="7" spans="1:11" ht="20.25" customHeight="1" thickTop="1">
      <c r="A7" s="80"/>
      <c r="B7" s="80"/>
      <c r="C7" s="80"/>
      <c r="D7" s="254" t="s">
        <v>295</v>
      </c>
      <c r="E7" s="748" t="s">
        <v>318</v>
      </c>
      <c r="G7" s="255"/>
      <c r="H7" s="748" t="s">
        <v>312</v>
      </c>
      <c r="I7" s="748" t="s">
        <v>319</v>
      </c>
      <c r="J7" s="255"/>
      <c r="K7" s="748" t="s">
        <v>313</v>
      </c>
    </row>
    <row r="8" spans="1:11" ht="61.5" customHeight="1" thickBot="1">
      <c r="A8" s="81" t="s">
        <v>218</v>
      </c>
      <c r="B8" s="17" t="s">
        <v>243</v>
      </c>
      <c r="C8" s="17" t="s">
        <v>330</v>
      </c>
      <c r="D8" s="17" t="s">
        <v>346</v>
      </c>
      <c r="E8" s="749"/>
      <c r="F8" s="17" t="s">
        <v>314</v>
      </c>
      <c r="G8" s="17" t="s">
        <v>271</v>
      </c>
      <c r="H8" s="750"/>
      <c r="I8" s="749"/>
      <c r="J8" s="17" t="s">
        <v>271</v>
      </c>
      <c r="K8" s="750"/>
    </row>
    <row r="9" spans="1:11" ht="12.75" customHeight="1" thickBot="1" thickTop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5">
        <v>6</v>
      </c>
      <c r="G9" s="25">
        <v>6</v>
      </c>
      <c r="H9" s="25">
        <v>7</v>
      </c>
      <c r="I9" s="256">
        <v>8</v>
      </c>
      <c r="J9" s="25">
        <v>9</v>
      </c>
      <c r="K9" s="25">
        <v>10</v>
      </c>
    </row>
    <row r="10" spans="1:11" ht="23.25" customHeight="1" thickBot="1" thickTop="1">
      <c r="A10" s="65"/>
      <c r="B10" s="65"/>
      <c r="C10" s="257"/>
      <c r="D10" s="258" t="s">
        <v>315</v>
      </c>
      <c r="E10" s="259">
        <v>62983519</v>
      </c>
      <c r="F10" s="259"/>
      <c r="G10" s="259">
        <f>G12+G26</f>
        <v>-168010</v>
      </c>
      <c r="H10" s="259">
        <f>E10+G10</f>
        <v>62815509</v>
      </c>
      <c r="I10" s="260">
        <v>54512519</v>
      </c>
      <c r="J10" s="259">
        <f>J12+J26</f>
        <v>-168010</v>
      </c>
      <c r="K10" s="259">
        <f>I10+J10</f>
        <v>54344509</v>
      </c>
    </row>
    <row r="11" spans="1:11" ht="18" customHeight="1">
      <c r="A11" s="34"/>
      <c r="B11" s="34"/>
      <c r="C11" s="288"/>
      <c r="D11" s="289" t="s">
        <v>224</v>
      </c>
      <c r="E11" s="290"/>
      <c r="F11" s="290"/>
      <c r="G11" s="290"/>
      <c r="H11" s="290"/>
      <c r="I11" s="291"/>
      <c r="J11" s="290"/>
      <c r="K11" s="290"/>
    </row>
    <row r="12" spans="1:11" ht="19.5" customHeight="1" thickBot="1">
      <c r="A12" s="261"/>
      <c r="B12" s="262"/>
      <c r="C12" s="262"/>
      <c r="D12" s="287" t="s">
        <v>327</v>
      </c>
      <c r="E12" s="264">
        <v>34883495</v>
      </c>
      <c r="F12" s="264"/>
      <c r="G12" s="264">
        <f>G13</f>
        <v>-180010</v>
      </c>
      <c r="H12" s="264">
        <f>E12+G12</f>
        <v>34703485</v>
      </c>
      <c r="I12" s="265">
        <v>34221495</v>
      </c>
      <c r="J12" s="264">
        <f>J13</f>
        <v>-180010</v>
      </c>
      <c r="K12" s="264">
        <f>I12+J12</f>
        <v>34041485</v>
      </c>
    </row>
    <row r="13" spans="1:11" ht="19.5" customHeight="1" thickTop="1">
      <c r="A13" s="54">
        <v>853</v>
      </c>
      <c r="B13" s="55"/>
      <c r="C13" s="55"/>
      <c r="D13" s="56" t="s">
        <v>216</v>
      </c>
      <c r="E13" s="461">
        <v>29024880</v>
      </c>
      <c r="F13" s="461"/>
      <c r="G13" s="461">
        <f>G14+G18+G22</f>
        <v>-180010</v>
      </c>
      <c r="H13" s="461">
        <f aca="true" t="shared" si="0" ref="H13:H20">E13+G13</f>
        <v>28844870</v>
      </c>
      <c r="I13" s="461">
        <v>28948880</v>
      </c>
      <c r="J13" s="461">
        <f>J14+J18+J22</f>
        <v>-180010</v>
      </c>
      <c r="K13" s="142">
        <f>I13+J13</f>
        <v>28768870</v>
      </c>
    </row>
    <row r="14" spans="1:11" ht="25.5" customHeight="1">
      <c r="A14" s="90"/>
      <c r="B14" s="70">
        <v>85313</v>
      </c>
      <c r="C14" s="279"/>
      <c r="D14" s="520" t="s">
        <v>408</v>
      </c>
      <c r="E14" s="266">
        <v>1473000</v>
      </c>
      <c r="F14" s="238"/>
      <c r="G14" s="62">
        <f>G15</f>
        <v>-473000</v>
      </c>
      <c r="H14" s="238">
        <f t="shared" si="0"/>
        <v>1000000</v>
      </c>
      <c r="I14" s="238">
        <v>1473000</v>
      </c>
      <c r="J14" s="238">
        <f>J17</f>
        <v>-473000</v>
      </c>
      <c r="K14" s="267">
        <f>I14+J14</f>
        <v>1000000</v>
      </c>
    </row>
    <row r="15" spans="1:11" ht="36.75" customHeight="1">
      <c r="A15" s="13"/>
      <c r="B15" s="85"/>
      <c r="C15" s="85"/>
      <c r="D15" s="521" t="s">
        <v>409</v>
      </c>
      <c r="E15" s="101">
        <v>1473000</v>
      </c>
      <c r="F15" s="242"/>
      <c r="G15" s="39">
        <f>G16</f>
        <v>-473000</v>
      </c>
      <c r="H15" s="242">
        <f t="shared" si="0"/>
        <v>1000000</v>
      </c>
      <c r="I15" s="242"/>
      <c r="J15" s="242"/>
      <c r="K15" s="268"/>
    </row>
    <row r="16" spans="1:11" ht="39" customHeight="1">
      <c r="A16" s="16"/>
      <c r="B16" s="16"/>
      <c r="C16" s="23">
        <v>201</v>
      </c>
      <c r="D16" s="280" t="s">
        <v>410</v>
      </c>
      <c r="E16" s="36">
        <v>1473000</v>
      </c>
      <c r="F16" s="243"/>
      <c r="G16" s="19">
        <v>-473000</v>
      </c>
      <c r="H16" s="243">
        <f t="shared" si="0"/>
        <v>1000000</v>
      </c>
      <c r="I16" s="243"/>
      <c r="J16" s="243"/>
      <c r="K16" s="269"/>
    </row>
    <row r="17" spans="1:11" ht="25.5" customHeight="1">
      <c r="A17" s="13"/>
      <c r="B17" s="29"/>
      <c r="C17" s="29"/>
      <c r="D17" s="83" t="s">
        <v>413</v>
      </c>
      <c r="E17" s="84"/>
      <c r="F17" s="84"/>
      <c r="G17" s="84"/>
      <c r="H17" s="84"/>
      <c r="I17" s="84">
        <v>1473000</v>
      </c>
      <c r="J17" s="84">
        <v>-473000</v>
      </c>
      <c r="K17" s="463">
        <f>I17+J17</f>
        <v>1000000</v>
      </c>
    </row>
    <row r="18" spans="1:11" ht="25.5" customHeight="1">
      <c r="A18" s="13"/>
      <c r="B18" s="60">
        <v>85314</v>
      </c>
      <c r="C18" s="60"/>
      <c r="D18" s="61" t="s">
        <v>411</v>
      </c>
      <c r="E18" s="522">
        <v>20316000</v>
      </c>
      <c r="F18" s="96"/>
      <c r="G18" s="522">
        <f>G19</f>
        <v>292000</v>
      </c>
      <c r="H18" s="238">
        <f>E18+G18</f>
        <v>20608000</v>
      </c>
      <c r="I18" s="522">
        <v>20316000</v>
      </c>
      <c r="J18" s="522">
        <f>J21</f>
        <v>292000</v>
      </c>
      <c r="K18" s="267">
        <f>I18+J18</f>
        <v>20608000</v>
      </c>
    </row>
    <row r="19" spans="1:12" ht="24.75" customHeight="1">
      <c r="A19" s="13"/>
      <c r="B19" s="13"/>
      <c r="C19" s="85"/>
      <c r="D19" s="38" t="s">
        <v>412</v>
      </c>
      <c r="E19" s="101">
        <v>20316000</v>
      </c>
      <c r="F19" s="242"/>
      <c r="G19" s="39">
        <f>G20</f>
        <v>292000</v>
      </c>
      <c r="H19" s="458">
        <f t="shared" si="0"/>
        <v>20608000</v>
      </c>
      <c r="I19" s="101"/>
      <c r="J19" s="242"/>
      <c r="K19" s="242"/>
      <c r="L19" s="293"/>
    </row>
    <row r="20" spans="1:12" ht="39.75" customHeight="1">
      <c r="A20" s="13"/>
      <c r="B20" s="16"/>
      <c r="C20" s="23">
        <v>201</v>
      </c>
      <c r="D20" s="280" t="s">
        <v>410</v>
      </c>
      <c r="E20" s="36">
        <v>20316000</v>
      </c>
      <c r="F20" s="243"/>
      <c r="G20" s="19">
        <f>69000+223000</f>
        <v>292000</v>
      </c>
      <c r="H20" s="459">
        <f t="shared" si="0"/>
        <v>20608000</v>
      </c>
      <c r="I20" s="36"/>
      <c r="J20" s="243"/>
      <c r="K20" s="243"/>
      <c r="L20" s="294"/>
    </row>
    <row r="21" spans="1:11" ht="19.5" customHeight="1">
      <c r="A21" s="13"/>
      <c r="B21" s="29"/>
      <c r="C21" s="29"/>
      <c r="D21" s="336" t="s">
        <v>403</v>
      </c>
      <c r="E21" s="84"/>
      <c r="F21" s="84"/>
      <c r="G21" s="84"/>
      <c r="H21" s="84"/>
      <c r="I21" s="84">
        <v>20316000</v>
      </c>
      <c r="J21" s="84">
        <v>292000</v>
      </c>
      <c r="K21" s="463">
        <f>I21+J21</f>
        <v>20608000</v>
      </c>
    </row>
    <row r="22" spans="1:11" ht="19.5" customHeight="1">
      <c r="A22" s="90"/>
      <c r="B22" s="91">
        <v>85395</v>
      </c>
      <c r="C22" s="91"/>
      <c r="D22" s="92" t="s">
        <v>235</v>
      </c>
      <c r="E22" s="266">
        <v>29880</v>
      </c>
      <c r="F22" s="238"/>
      <c r="G22" s="238">
        <f>G23</f>
        <v>990</v>
      </c>
      <c r="H22" s="238">
        <f>E22+G22</f>
        <v>30870</v>
      </c>
      <c r="I22" s="238">
        <v>29880</v>
      </c>
      <c r="J22" s="238">
        <f>J25</f>
        <v>990</v>
      </c>
      <c r="K22" s="267">
        <f>I22+J22</f>
        <v>30870</v>
      </c>
    </row>
    <row r="23" spans="1:11" ht="24" customHeight="1">
      <c r="A23" s="13"/>
      <c r="B23" s="13"/>
      <c r="C23" s="13"/>
      <c r="D23" s="38" t="s">
        <v>325</v>
      </c>
      <c r="E23" s="101">
        <v>29880</v>
      </c>
      <c r="F23" s="242"/>
      <c r="G23" s="242">
        <f>G24</f>
        <v>990</v>
      </c>
      <c r="H23" s="242">
        <f>E23+G23</f>
        <v>30870</v>
      </c>
      <c r="I23" s="242"/>
      <c r="J23" s="242"/>
      <c r="K23" s="268"/>
    </row>
    <row r="24" spans="1:11" ht="39" customHeight="1">
      <c r="A24" s="16"/>
      <c r="B24" s="16"/>
      <c r="C24" s="58">
        <v>201</v>
      </c>
      <c r="D24" s="241" t="s">
        <v>326</v>
      </c>
      <c r="E24" s="36">
        <v>29880</v>
      </c>
      <c r="F24" s="243"/>
      <c r="G24" s="243">
        <v>990</v>
      </c>
      <c r="H24" s="243">
        <f>E24+G24</f>
        <v>30870</v>
      </c>
      <c r="I24" s="243"/>
      <c r="J24" s="243"/>
      <c r="K24" s="269"/>
    </row>
    <row r="25" spans="1:12" ht="19.5" customHeight="1">
      <c r="A25" s="29"/>
      <c r="B25" s="29"/>
      <c r="C25" s="29"/>
      <c r="D25" s="83" t="s">
        <v>323</v>
      </c>
      <c r="E25" s="462"/>
      <c r="F25" s="463"/>
      <c r="G25" s="463"/>
      <c r="H25" s="463"/>
      <c r="I25" s="462">
        <v>29880</v>
      </c>
      <c r="J25" s="463">
        <v>990</v>
      </c>
      <c r="K25" s="463">
        <f aca="true" t="shared" si="1" ref="K25:K31">I25+J25</f>
        <v>30870</v>
      </c>
      <c r="L25" s="293"/>
    </row>
    <row r="26" spans="1:11" ht="28.5" customHeight="1" thickBot="1">
      <c r="A26" s="261"/>
      <c r="B26" s="262"/>
      <c r="C26" s="262"/>
      <c r="D26" s="263" t="s">
        <v>316</v>
      </c>
      <c r="E26" s="264">
        <v>28100024</v>
      </c>
      <c r="F26" s="264"/>
      <c r="G26" s="264">
        <f>G27</f>
        <v>12000</v>
      </c>
      <c r="H26" s="264">
        <f>E26+G26</f>
        <v>28112024</v>
      </c>
      <c r="I26" s="265">
        <v>20291024</v>
      </c>
      <c r="J26" s="264">
        <f>J27</f>
        <v>12000</v>
      </c>
      <c r="K26" s="264">
        <f t="shared" si="1"/>
        <v>20303024</v>
      </c>
    </row>
    <row r="27" spans="1:11" ht="19.5" customHeight="1" thickTop="1">
      <c r="A27" s="54">
        <v>853</v>
      </c>
      <c r="B27" s="55"/>
      <c r="C27" s="55"/>
      <c r="D27" s="56" t="s">
        <v>216</v>
      </c>
      <c r="E27" s="57">
        <v>4199240</v>
      </c>
      <c r="F27" s="57"/>
      <c r="G27" s="57">
        <f>G28</f>
        <v>12000</v>
      </c>
      <c r="H27" s="57">
        <f>E27+G27</f>
        <v>4211240</v>
      </c>
      <c r="I27" s="57">
        <v>4171240</v>
      </c>
      <c r="J27" s="57">
        <f>J28</f>
        <v>12000</v>
      </c>
      <c r="K27" s="57">
        <f t="shared" si="1"/>
        <v>4183240</v>
      </c>
    </row>
    <row r="28" spans="1:11" ht="19.5" customHeight="1">
      <c r="A28" s="90"/>
      <c r="B28" s="10">
        <v>85321</v>
      </c>
      <c r="C28" s="10"/>
      <c r="D28" s="10" t="s">
        <v>397</v>
      </c>
      <c r="E28" s="168">
        <v>369200</v>
      </c>
      <c r="F28" s="168"/>
      <c r="G28" s="62">
        <f>G29</f>
        <v>12000</v>
      </c>
      <c r="H28" s="168">
        <f>E28+G28</f>
        <v>381200</v>
      </c>
      <c r="I28" s="168">
        <v>369200</v>
      </c>
      <c r="J28" s="168">
        <f>J31</f>
        <v>12000</v>
      </c>
      <c r="K28" s="168">
        <f t="shared" si="1"/>
        <v>381200</v>
      </c>
    </row>
    <row r="29" spans="1:11" ht="24.75" customHeight="1">
      <c r="A29" s="13"/>
      <c r="B29" s="13"/>
      <c r="C29" s="13"/>
      <c r="D29" s="38" t="s">
        <v>398</v>
      </c>
      <c r="E29" s="39">
        <v>359200</v>
      </c>
      <c r="F29" s="39"/>
      <c r="G29" s="39">
        <f>G30</f>
        <v>12000</v>
      </c>
      <c r="H29" s="39">
        <f>E29+G29</f>
        <v>371200</v>
      </c>
      <c r="I29" s="385"/>
      <c r="J29" s="385"/>
      <c r="K29" s="385"/>
    </row>
    <row r="30" spans="1:11" ht="39.75" customHeight="1">
      <c r="A30" s="16"/>
      <c r="B30" s="16"/>
      <c r="C30" s="279">
        <v>211</v>
      </c>
      <c r="D30" s="280" t="s">
        <v>299</v>
      </c>
      <c r="E30" s="276">
        <v>359200</v>
      </c>
      <c r="F30" s="276"/>
      <c r="G30" s="19">
        <v>12000</v>
      </c>
      <c r="H30" s="276">
        <f>E30+G30</f>
        <v>371200</v>
      </c>
      <c r="I30" s="460"/>
      <c r="J30" s="460"/>
      <c r="K30" s="460"/>
    </row>
    <row r="31" spans="1:11" ht="25.5" customHeight="1">
      <c r="A31" s="13"/>
      <c r="B31" s="13"/>
      <c r="C31" s="13"/>
      <c r="D31" s="83" t="s">
        <v>399</v>
      </c>
      <c r="E31" s="84"/>
      <c r="F31" s="84"/>
      <c r="G31" s="84"/>
      <c r="H31" s="84"/>
      <c r="I31" s="84">
        <v>359200</v>
      </c>
      <c r="J31" s="84">
        <v>12000</v>
      </c>
      <c r="K31" s="84">
        <f t="shared" si="1"/>
        <v>371200</v>
      </c>
    </row>
    <row r="32" spans="1:11" ht="18" customHeight="1">
      <c r="A32" s="94"/>
      <c r="B32" s="271"/>
      <c r="C32" s="272"/>
      <c r="D32" s="273" t="s">
        <v>333</v>
      </c>
      <c r="E32" s="273"/>
      <c r="F32" s="273"/>
      <c r="G32" s="273"/>
      <c r="H32" s="274"/>
      <c r="I32" s="275"/>
      <c r="J32" s="273"/>
      <c r="K32" s="273"/>
    </row>
    <row r="33" spans="1:11" ht="29.25" customHeight="1">
      <c r="A33" s="29"/>
      <c r="B33" s="23"/>
      <c r="C33" s="23">
        <v>235</v>
      </c>
      <c r="D33" s="12" t="s">
        <v>317</v>
      </c>
      <c r="E33" s="19">
        <v>8471000</v>
      </c>
      <c r="F33" s="19"/>
      <c r="G33" s="19"/>
      <c r="H33" s="276">
        <f>E33+G33</f>
        <v>8471000</v>
      </c>
      <c r="I33" s="19"/>
      <c r="J33" s="19"/>
      <c r="K33" s="19"/>
    </row>
  </sheetData>
  <mergeCells count="6">
    <mergeCell ref="I7:I8"/>
    <mergeCell ref="K7:K8"/>
    <mergeCell ref="A3:D3"/>
    <mergeCell ref="A4:D4"/>
    <mergeCell ref="E7:E8"/>
    <mergeCell ref="H7:H8"/>
  </mergeCells>
  <printOptions horizontalCentered="1"/>
  <pageMargins left="0.3937007874015748" right="0.3937007874015748" top="0.6692913385826772" bottom="0.5905511811023623" header="0.5118110236220472" footer="0.3937007874015748"/>
  <pageSetup firstPageNumber="15" useFirstPageNumber="1" horizontalDpi="300" verticalDpi="300" orientation="landscape" paperSize="9" scale="84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56"/>
  <sheetViews>
    <sheetView zoomScale="75" zoomScaleNormal="75" workbookViewId="0" topLeftCell="D42">
      <selection activeCell="H6" sqref="H6"/>
    </sheetView>
  </sheetViews>
  <sheetFormatPr defaultColWidth="9.00390625" defaultRowHeight="12.75"/>
  <cols>
    <col min="1" max="1" width="5.375" style="27" customWidth="1"/>
    <col min="2" max="2" width="7.75390625" style="27" customWidth="1"/>
    <col min="3" max="3" width="5.625" style="27" customWidth="1"/>
    <col min="4" max="4" width="65.625" style="27" customWidth="1"/>
    <col min="5" max="5" width="19.125" style="27" customWidth="1"/>
    <col min="6" max="6" width="14.625" style="27" hidden="1" customWidth="1"/>
    <col min="7" max="7" width="14.625" style="27" customWidth="1"/>
    <col min="8" max="8" width="14.25390625" style="27" customWidth="1"/>
    <col min="9" max="9" width="17.75390625" style="27" customWidth="1"/>
    <col min="10" max="10" width="12.00390625" style="27" customWidth="1"/>
    <col min="11" max="11" width="11.125" style="27" customWidth="1"/>
    <col min="12" max="12" width="15.25390625" style="27" customWidth="1"/>
    <col min="13" max="16384" width="9.125" style="27" customWidth="1"/>
  </cols>
  <sheetData>
    <row r="1" spans="2:8" ht="15" customHeight="1">
      <c r="B1" s="3"/>
      <c r="C1" s="3"/>
      <c r="H1" s="27" t="s">
        <v>320</v>
      </c>
    </row>
    <row r="2" ht="15.75" customHeight="1">
      <c r="H2" s="27" t="s">
        <v>834</v>
      </c>
    </row>
    <row r="3" spans="4:8" ht="17.25" customHeight="1">
      <c r="D3" s="40" t="s">
        <v>226</v>
      </c>
      <c r="H3" s="27" t="s">
        <v>246</v>
      </c>
    </row>
    <row r="4" ht="17.25" customHeight="1">
      <c r="H4" s="27" t="s">
        <v>833</v>
      </c>
    </row>
    <row r="5" ht="14.25" customHeight="1" thickBot="1">
      <c r="I5" s="93" t="s">
        <v>332</v>
      </c>
    </row>
    <row r="6" spans="1:9" ht="83.25" customHeight="1" thickBot="1" thickTop="1">
      <c r="A6" s="41" t="s">
        <v>328</v>
      </c>
      <c r="B6" s="41" t="s">
        <v>329</v>
      </c>
      <c r="C6" s="42" t="s">
        <v>330</v>
      </c>
      <c r="D6" s="42" t="s">
        <v>340</v>
      </c>
      <c r="E6" s="42" t="s">
        <v>284</v>
      </c>
      <c r="F6" s="42" t="s">
        <v>214</v>
      </c>
      <c r="G6" s="42" t="s">
        <v>214</v>
      </c>
      <c r="H6" s="41" t="s">
        <v>215</v>
      </c>
      <c r="I6" s="42" t="s">
        <v>227</v>
      </c>
    </row>
    <row r="7" spans="1:9" s="43" customFormat="1" ht="15.75" customHeight="1" thickBot="1" thickTop="1">
      <c r="A7" s="103">
        <v>1</v>
      </c>
      <c r="B7" s="103">
        <v>2</v>
      </c>
      <c r="C7" s="103">
        <v>3</v>
      </c>
      <c r="D7" s="103">
        <v>4</v>
      </c>
      <c r="E7" s="103">
        <v>5</v>
      </c>
      <c r="F7" s="103">
        <v>6</v>
      </c>
      <c r="G7" s="103">
        <v>6</v>
      </c>
      <c r="H7" s="103">
        <v>7</v>
      </c>
      <c r="I7" s="103">
        <v>8</v>
      </c>
    </row>
    <row r="8" spans="1:12" ht="24" customHeight="1" thickBot="1" thickTop="1">
      <c r="A8" s="44"/>
      <c r="B8" s="44"/>
      <c r="C8" s="44"/>
      <c r="D8" s="45" t="s">
        <v>228</v>
      </c>
      <c r="E8" s="46">
        <v>642163246</v>
      </c>
      <c r="F8" s="46"/>
      <c r="G8" s="46">
        <f>G10+G35</f>
        <v>473000</v>
      </c>
      <c r="H8" s="46">
        <f>H10+H35</f>
        <v>1003198</v>
      </c>
      <c r="I8" s="46">
        <f>E8-G8+H8</f>
        <v>642693444</v>
      </c>
      <c r="J8" s="33">
        <f>H8-G8</f>
        <v>530198</v>
      </c>
      <c r="K8" s="33">
        <f>H8-G8</f>
        <v>530198</v>
      </c>
      <c r="L8" s="33"/>
    </row>
    <row r="9" spans="1:9" ht="15" customHeight="1" thickTop="1">
      <c r="A9" s="13"/>
      <c r="B9" s="13"/>
      <c r="C9" s="13"/>
      <c r="D9" s="13" t="s">
        <v>224</v>
      </c>
      <c r="E9" s="14"/>
      <c r="F9" s="14"/>
      <c r="G9" s="14"/>
      <c r="H9" s="14"/>
      <c r="I9" s="14"/>
    </row>
    <row r="10" spans="1:12" ht="21.75" customHeight="1" thickBot="1">
      <c r="A10" s="13"/>
      <c r="B10" s="13"/>
      <c r="C10" s="13"/>
      <c r="D10" s="47" t="s">
        <v>234</v>
      </c>
      <c r="E10" s="48">
        <v>440797611</v>
      </c>
      <c r="F10" s="48"/>
      <c r="G10" s="48">
        <f>G11+G12+G13+G22+G24</f>
        <v>473000</v>
      </c>
      <c r="H10" s="48">
        <f>H11+H12+H13+H22+H24</f>
        <v>523726</v>
      </c>
      <c r="I10" s="48">
        <f aca="true" t="shared" si="0" ref="I10:I56">E10-G10+H10</f>
        <v>440848337</v>
      </c>
      <c r="J10" s="33"/>
      <c r="L10" s="33"/>
    </row>
    <row r="11" spans="1:9" ht="21.75" customHeight="1" thickBot="1">
      <c r="A11" s="13"/>
      <c r="B11" s="13"/>
      <c r="C11" s="13"/>
      <c r="D11" s="49" t="s">
        <v>229</v>
      </c>
      <c r="E11" s="53">
        <v>289783520</v>
      </c>
      <c r="F11" s="50"/>
      <c r="G11" s="50"/>
      <c r="H11" s="50"/>
      <c r="I11" s="50">
        <f t="shared" si="0"/>
        <v>289783520</v>
      </c>
    </row>
    <row r="12" spans="1:9" ht="21.75" customHeight="1" thickBot="1" thickTop="1">
      <c r="A12" s="13"/>
      <c r="B12" s="13"/>
      <c r="C12" s="13"/>
      <c r="D12" s="51" t="s">
        <v>230</v>
      </c>
      <c r="E12" s="53">
        <v>111480693</v>
      </c>
      <c r="F12" s="53"/>
      <c r="G12" s="53"/>
      <c r="H12" s="53"/>
      <c r="I12" s="53">
        <f t="shared" si="0"/>
        <v>111480693</v>
      </c>
    </row>
    <row r="13" spans="1:9" ht="21.75" customHeight="1" thickBot="1" thickTop="1">
      <c r="A13" s="29"/>
      <c r="B13" s="29"/>
      <c r="C13" s="29"/>
      <c r="D13" s="51" t="s">
        <v>231</v>
      </c>
      <c r="E13" s="53">
        <v>5261451</v>
      </c>
      <c r="F13" s="53"/>
      <c r="G13" s="53"/>
      <c r="H13" s="53">
        <f>H14+H18</f>
        <v>230736</v>
      </c>
      <c r="I13" s="53">
        <f t="shared" si="0"/>
        <v>5492187</v>
      </c>
    </row>
    <row r="14" spans="1:9" ht="19.5" customHeight="1" thickTop="1">
      <c r="A14" s="54">
        <v>801</v>
      </c>
      <c r="B14" s="55"/>
      <c r="C14" s="55"/>
      <c r="D14" s="56" t="s">
        <v>262</v>
      </c>
      <c r="E14" s="57">
        <v>483468</v>
      </c>
      <c r="F14" s="57"/>
      <c r="G14" s="57"/>
      <c r="H14" s="57">
        <f>H15</f>
        <v>176395</v>
      </c>
      <c r="I14" s="57">
        <f t="shared" si="0"/>
        <v>659863</v>
      </c>
    </row>
    <row r="15" spans="1:9" ht="19.5" customHeight="1">
      <c r="A15" s="59"/>
      <c r="B15" s="91">
        <v>80195</v>
      </c>
      <c r="C15" s="60"/>
      <c r="D15" s="92" t="s">
        <v>235</v>
      </c>
      <c r="E15" s="267">
        <v>483468</v>
      </c>
      <c r="F15" s="267"/>
      <c r="G15" s="267"/>
      <c r="H15" s="267">
        <f>H16</f>
        <v>176395</v>
      </c>
      <c r="I15" s="267">
        <f t="shared" si="0"/>
        <v>659863</v>
      </c>
    </row>
    <row r="16" spans="1:9" ht="26.25" customHeight="1">
      <c r="A16" s="239"/>
      <c r="B16" s="240"/>
      <c r="C16" s="240"/>
      <c r="D16" s="88" t="s">
        <v>405</v>
      </c>
      <c r="E16" s="277">
        <v>483000</v>
      </c>
      <c r="F16" s="277"/>
      <c r="G16" s="277"/>
      <c r="H16" s="277">
        <f>H17</f>
        <v>176395</v>
      </c>
      <c r="I16" s="277">
        <f t="shared" si="0"/>
        <v>659395</v>
      </c>
    </row>
    <row r="17" spans="1:9" ht="24.75" customHeight="1">
      <c r="A17" s="381"/>
      <c r="B17" s="58"/>
      <c r="C17" s="58">
        <v>203</v>
      </c>
      <c r="D17" s="241" t="s">
        <v>335</v>
      </c>
      <c r="E17" s="278">
        <v>483000</v>
      </c>
      <c r="F17" s="278"/>
      <c r="G17" s="278"/>
      <c r="H17" s="278">
        <v>176395</v>
      </c>
      <c r="I17" s="278">
        <f t="shared" si="0"/>
        <v>659395</v>
      </c>
    </row>
    <row r="18" spans="1:9" ht="19.5" customHeight="1">
      <c r="A18" s="54">
        <v>854</v>
      </c>
      <c r="B18" s="55"/>
      <c r="C18" s="55"/>
      <c r="D18" s="56" t="s">
        <v>280</v>
      </c>
      <c r="E18" s="57">
        <v>105000</v>
      </c>
      <c r="F18" s="57"/>
      <c r="G18" s="57"/>
      <c r="H18" s="57">
        <f>H19</f>
        <v>54341</v>
      </c>
      <c r="I18" s="57">
        <f>E18-G18+H18</f>
        <v>159341</v>
      </c>
    </row>
    <row r="19" spans="1:9" ht="19.5" customHeight="1">
      <c r="A19" s="59"/>
      <c r="B19" s="91">
        <v>85495</v>
      </c>
      <c r="C19" s="60"/>
      <c r="D19" s="92" t="s">
        <v>235</v>
      </c>
      <c r="E19" s="18">
        <v>105000</v>
      </c>
      <c r="F19" s="267"/>
      <c r="G19" s="267"/>
      <c r="H19" s="267">
        <f>H20</f>
        <v>54341</v>
      </c>
      <c r="I19" s="18">
        <f>E19-G19+H19</f>
        <v>159341</v>
      </c>
    </row>
    <row r="20" spans="1:9" ht="26.25" customHeight="1">
      <c r="A20" s="239"/>
      <c r="B20" s="240"/>
      <c r="C20" s="240"/>
      <c r="D20" s="88" t="s">
        <v>405</v>
      </c>
      <c r="E20" s="277">
        <v>105000</v>
      </c>
      <c r="F20" s="277"/>
      <c r="G20" s="277"/>
      <c r="H20" s="277">
        <f>H21</f>
        <v>54341</v>
      </c>
      <c r="I20" s="277">
        <f>E20-G20+H20</f>
        <v>159341</v>
      </c>
    </row>
    <row r="21" spans="1:9" ht="24.75" customHeight="1">
      <c r="A21" s="234"/>
      <c r="B21" s="89"/>
      <c r="C21" s="58">
        <v>203</v>
      </c>
      <c r="D21" s="241" t="s">
        <v>335</v>
      </c>
      <c r="E21" s="278">
        <v>105000</v>
      </c>
      <c r="F21" s="278"/>
      <c r="G21" s="278"/>
      <c r="H21" s="278">
        <v>54341</v>
      </c>
      <c r="I21" s="99">
        <f>E21-G21+H21</f>
        <v>159341</v>
      </c>
    </row>
    <row r="22" spans="1:9" ht="21.75" customHeight="1">
      <c r="A22" s="13"/>
      <c r="B22" s="13"/>
      <c r="C22" s="13"/>
      <c r="D22" s="548" t="s">
        <v>236</v>
      </c>
      <c r="E22" s="556">
        <v>50452</v>
      </c>
      <c r="F22" s="557"/>
      <c r="G22" s="557"/>
      <c r="H22" s="557"/>
      <c r="I22" s="557">
        <f t="shared" si="0"/>
        <v>50452</v>
      </c>
    </row>
    <row r="23" spans="1:9" ht="40.5" customHeight="1">
      <c r="A23" s="558"/>
      <c r="B23" s="558"/>
      <c r="C23" s="558"/>
      <c r="D23" s="554"/>
      <c r="E23" s="559"/>
      <c r="F23" s="559"/>
      <c r="G23" s="559"/>
      <c r="H23" s="559"/>
      <c r="I23" s="559"/>
    </row>
    <row r="24" spans="1:9" ht="30" customHeight="1" thickBot="1">
      <c r="A24" s="29"/>
      <c r="B24" s="29"/>
      <c r="C24" s="29"/>
      <c r="D24" s="51" t="s">
        <v>232</v>
      </c>
      <c r="E24" s="53">
        <v>34221495</v>
      </c>
      <c r="F24" s="53"/>
      <c r="G24" s="53">
        <f>G25</f>
        <v>473000</v>
      </c>
      <c r="H24" s="53">
        <f>H25</f>
        <v>292990</v>
      </c>
      <c r="I24" s="53">
        <f t="shared" si="0"/>
        <v>34041485</v>
      </c>
    </row>
    <row r="25" spans="1:9" ht="20.25" customHeight="1" thickTop="1">
      <c r="A25" s="54">
        <v>853</v>
      </c>
      <c r="B25" s="55"/>
      <c r="C25" s="55"/>
      <c r="D25" s="56" t="s">
        <v>216</v>
      </c>
      <c r="E25" s="57">
        <v>28948880</v>
      </c>
      <c r="F25" s="57"/>
      <c r="G25" s="57">
        <f>G26+G29+G32</f>
        <v>473000</v>
      </c>
      <c r="H25" s="57">
        <f>H26+H29+H32</f>
        <v>292990</v>
      </c>
      <c r="I25" s="57">
        <f t="shared" si="0"/>
        <v>28768870</v>
      </c>
    </row>
    <row r="26" spans="1:9" ht="25.5" customHeight="1">
      <c r="A26" s="90"/>
      <c r="B26" s="70">
        <v>85313</v>
      </c>
      <c r="C26" s="279"/>
      <c r="D26" s="520" t="s">
        <v>408</v>
      </c>
      <c r="E26" s="62">
        <v>1473000</v>
      </c>
      <c r="F26" s="62"/>
      <c r="G26" s="62">
        <f>G27</f>
        <v>473000</v>
      </c>
      <c r="H26" s="62"/>
      <c r="I26" s="62">
        <f t="shared" si="0"/>
        <v>1000000</v>
      </c>
    </row>
    <row r="27" spans="1:9" ht="27" customHeight="1">
      <c r="A27" s="13"/>
      <c r="B27" s="85"/>
      <c r="C27" s="85"/>
      <c r="D27" s="521" t="s">
        <v>409</v>
      </c>
      <c r="E27" s="39">
        <v>1473000</v>
      </c>
      <c r="F27" s="39"/>
      <c r="G27" s="39">
        <f>G28</f>
        <v>473000</v>
      </c>
      <c r="H27" s="39"/>
      <c r="I27" s="39">
        <f aca="true" t="shared" si="1" ref="I27:I34">E27-G27+H27</f>
        <v>1000000</v>
      </c>
    </row>
    <row r="28" spans="1:9" s="31" customFormat="1" ht="39" customHeight="1">
      <c r="A28" s="16"/>
      <c r="B28" s="23"/>
      <c r="C28" s="23">
        <v>201</v>
      </c>
      <c r="D28" s="280" t="s">
        <v>410</v>
      </c>
      <c r="E28" s="19">
        <v>1473000</v>
      </c>
      <c r="F28" s="19"/>
      <c r="G28" s="19">
        <v>473000</v>
      </c>
      <c r="H28" s="19"/>
      <c r="I28" s="19">
        <f t="shared" si="1"/>
        <v>1000000</v>
      </c>
    </row>
    <row r="29" spans="1:9" ht="19.5" customHeight="1">
      <c r="A29" s="90"/>
      <c r="B29" s="60">
        <v>85314</v>
      </c>
      <c r="C29" s="60"/>
      <c r="D29" s="61" t="s">
        <v>411</v>
      </c>
      <c r="E29" s="62">
        <v>20316000</v>
      </c>
      <c r="F29" s="62"/>
      <c r="G29" s="62"/>
      <c r="H29" s="62">
        <f>H30</f>
        <v>292000</v>
      </c>
      <c r="I29" s="62">
        <f t="shared" si="1"/>
        <v>20608000</v>
      </c>
    </row>
    <row r="30" spans="1:9" ht="26.25" customHeight="1">
      <c r="A30" s="13"/>
      <c r="B30" s="13"/>
      <c r="C30" s="85"/>
      <c r="D30" s="38" t="s">
        <v>412</v>
      </c>
      <c r="E30" s="39">
        <v>20316000</v>
      </c>
      <c r="F30" s="39"/>
      <c r="G30" s="39"/>
      <c r="H30" s="39">
        <f>H31</f>
        <v>292000</v>
      </c>
      <c r="I30" s="39">
        <f t="shared" si="1"/>
        <v>20608000</v>
      </c>
    </row>
    <row r="31" spans="1:9" s="31" customFormat="1" ht="39" customHeight="1">
      <c r="A31" s="16"/>
      <c r="B31" s="23"/>
      <c r="C31" s="23">
        <v>201</v>
      </c>
      <c r="D31" s="280" t="s">
        <v>410</v>
      </c>
      <c r="E31" s="19">
        <v>20316000</v>
      </c>
      <c r="F31" s="19"/>
      <c r="G31" s="19"/>
      <c r="H31" s="19">
        <f>69000+223000</f>
        <v>292000</v>
      </c>
      <c r="I31" s="19">
        <f t="shared" si="1"/>
        <v>20608000</v>
      </c>
    </row>
    <row r="32" spans="1:9" ht="19.5" customHeight="1">
      <c r="A32" s="90"/>
      <c r="B32" s="91">
        <v>85395</v>
      </c>
      <c r="C32" s="91"/>
      <c r="D32" s="61" t="s">
        <v>235</v>
      </c>
      <c r="E32" s="62">
        <v>29880</v>
      </c>
      <c r="F32" s="62"/>
      <c r="G32" s="62"/>
      <c r="H32" s="62">
        <f>H33</f>
        <v>990</v>
      </c>
      <c r="I32" s="62">
        <f t="shared" si="1"/>
        <v>30870</v>
      </c>
    </row>
    <row r="33" spans="1:9" ht="19.5" customHeight="1">
      <c r="A33" s="13"/>
      <c r="B33" s="13"/>
      <c r="C33" s="13"/>
      <c r="D33" s="38" t="s">
        <v>325</v>
      </c>
      <c r="E33" s="39">
        <v>29880</v>
      </c>
      <c r="F33" s="39"/>
      <c r="G33" s="39"/>
      <c r="H33" s="39">
        <f>H34</f>
        <v>990</v>
      </c>
      <c r="I33" s="39">
        <f t="shared" si="1"/>
        <v>30870</v>
      </c>
    </row>
    <row r="34" spans="1:9" s="31" customFormat="1" ht="37.5" customHeight="1">
      <c r="A34" s="16"/>
      <c r="B34" s="16"/>
      <c r="C34" s="58">
        <v>201</v>
      </c>
      <c r="D34" s="241" t="s">
        <v>326</v>
      </c>
      <c r="E34" s="19">
        <v>29880</v>
      </c>
      <c r="F34" s="19"/>
      <c r="G34" s="19"/>
      <c r="H34" s="19">
        <v>990</v>
      </c>
      <c r="I34" s="19">
        <f t="shared" si="1"/>
        <v>30870</v>
      </c>
    </row>
    <row r="35" spans="1:10" ht="19.5" customHeight="1" thickBot="1">
      <c r="A35" s="13"/>
      <c r="B35" s="13"/>
      <c r="C35" s="13"/>
      <c r="D35" s="47" t="s">
        <v>233</v>
      </c>
      <c r="E35" s="48">
        <v>201365635</v>
      </c>
      <c r="F35" s="48"/>
      <c r="G35" s="48"/>
      <c r="H35" s="48">
        <f>H36+H37+H38+H51+H52</f>
        <v>479472</v>
      </c>
      <c r="I35" s="48">
        <f t="shared" si="0"/>
        <v>201845107</v>
      </c>
      <c r="J35" s="33"/>
    </row>
    <row r="36" spans="1:10" s="28" customFormat="1" ht="19.5" customHeight="1" thickBot="1">
      <c r="A36" s="13"/>
      <c r="B36" s="13"/>
      <c r="C36" s="13"/>
      <c r="D36" s="295" t="s">
        <v>229</v>
      </c>
      <c r="E36" s="50">
        <v>16742654</v>
      </c>
      <c r="F36" s="50"/>
      <c r="G36" s="50"/>
      <c r="H36" s="50"/>
      <c r="I36" s="50">
        <f t="shared" si="0"/>
        <v>16742654</v>
      </c>
      <c r="J36" s="94"/>
    </row>
    <row r="37" spans="1:9" ht="19.5" customHeight="1" thickBot="1" thickTop="1">
      <c r="A37" s="13"/>
      <c r="B37" s="13"/>
      <c r="C37" s="13"/>
      <c r="D37" s="51" t="s">
        <v>230</v>
      </c>
      <c r="E37" s="52">
        <v>138739658</v>
      </c>
      <c r="F37" s="52"/>
      <c r="G37" s="52"/>
      <c r="H37" s="52"/>
      <c r="I37" s="52">
        <f t="shared" si="0"/>
        <v>138739658</v>
      </c>
    </row>
    <row r="38" spans="1:9" ht="19.5" customHeight="1" thickBot="1" thickTop="1">
      <c r="A38" s="29"/>
      <c r="B38" s="29"/>
      <c r="C38" s="29"/>
      <c r="D38" s="51" t="s">
        <v>231</v>
      </c>
      <c r="E38" s="52">
        <v>22813691</v>
      </c>
      <c r="F38" s="52"/>
      <c r="G38" s="52"/>
      <c r="H38" s="52">
        <f>H39+H43+H47</f>
        <v>467472</v>
      </c>
      <c r="I38" s="52">
        <f t="shared" si="0"/>
        <v>23281163</v>
      </c>
    </row>
    <row r="39" spans="1:9" ht="19.5" customHeight="1" thickTop="1">
      <c r="A39" s="54">
        <v>801</v>
      </c>
      <c r="B39" s="55"/>
      <c r="C39" s="55"/>
      <c r="D39" s="56" t="s">
        <v>262</v>
      </c>
      <c r="E39" s="440">
        <v>583036</v>
      </c>
      <c r="F39" s="440"/>
      <c r="G39" s="440"/>
      <c r="H39" s="440">
        <f>H40</f>
        <v>181230</v>
      </c>
      <c r="I39" s="57">
        <f t="shared" si="0"/>
        <v>764266</v>
      </c>
    </row>
    <row r="40" spans="1:9" ht="19.5" customHeight="1">
      <c r="A40" s="59"/>
      <c r="B40" s="91">
        <v>80195</v>
      </c>
      <c r="C40" s="60"/>
      <c r="D40" s="92" t="s">
        <v>235</v>
      </c>
      <c r="E40" s="62">
        <v>498000</v>
      </c>
      <c r="F40" s="62"/>
      <c r="G40" s="62"/>
      <c r="H40" s="62">
        <f>H41</f>
        <v>181230</v>
      </c>
      <c r="I40" s="62">
        <f>E40-G40+H40</f>
        <v>679230</v>
      </c>
    </row>
    <row r="41" spans="1:9" ht="26.25" customHeight="1">
      <c r="A41" s="239"/>
      <c r="B41" s="240"/>
      <c r="C41" s="240"/>
      <c r="D41" s="39" t="s">
        <v>406</v>
      </c>
      <c r="E41" s="39">
        <v>498000</v>
      </c>
      <c r="F41" s="39"/>
      <c r="G41" s="39"/>
      <c r="H41" s="39">
        <f>H42</f>
        <v>181230</v>
      </c>
      <c r="I41" s="39">
        <f>E41-G41+H41</f>
        <v>679230</v>
      </c>
    </row>
    <row r="42" spans="1:9" s="31" customFormat="1" ht="24.75" customHeight="1">
      <c r="A42" s="16"/>
      <c r="B42" s="16"/>
      <c r="C42" s="279">
        <v>213</v>
      </c>
      <c r="D42" s="280" t="s">
        <v>205</v>
      </c>
      <c r="E42" s="99">
        <v>498000</v>
      </c>
      <c r="F42" s="99"/>
      <c r="G42" s="99"/>
      <c r="H42" s="99">
        <v>181230</v>
      </c>
      <c r="I42" s="19">
        <f>E42-G42+H42</f>
        <v>679230</v>
      </c>
    </row>
    <row r="43" spans="1:9" ht="19.5" customHeight="1">
      <c r="A43" s="423">
        <v>853</v>
      </c>
      <c r="B43" s="166"/>
      <c r="C43" s="166"/>
      <c r="D43" s="56" t="s">
        <v>216</v>
      </c>
      <c r="E43" s="57">
        <v>21222396</v>
      </c>
      <c r="F43" s="57"/>
      <c r="G43" s="57"/>
      <c r="H43" s="57">
        <f>H44</f>
        <v>250000</v>
      </c>
      <c r="I43" s="57">
        <f t="shared" si="0"/>
        <v>21472396</v>
      </c>
    </row>
    <row r="44" spans="1:9" ht="19.5" customHeight="1">
      <c r="A44" s="90"/>
      <c r="B44" s="10">
        <v>85304</v>
      </c>
      <c r="C44" s="10"/>
      <c r="D44" s="70" t="s">
        <v>401</v>
      </c>
      <c r="E44" s="62">
        <v>4254110</v>
      </c>
      <c r="F44" s="62"/>
      <c r="G44" s="62"/>
      <c r="H44" s="62">
        <f>H45</f>
        <v>250000</v>
      </c>
      <c r="I44" s="62">
        <f>E44-G44+H44</f>
        <v>4504110</v>
      </c>
    </row>
    <row r="45" spans="1:9" ht="26.25" customHeight="1">
      <c r="A45" s="29"/>
      <c r="B45" s="29"/>
      <c r="C45" s="29"/>
      <c r="D45" s="83" t="s">
        <v>402</v>
      </c>
      <c r="E45" s="84">
        <v>4254110</v>
      </c>
      <c r="F45" s="84"/>
      <c r="G45" s="84"/>
      <c r="H45" s="84">
        <f>H46</f>
        <v>250000</v>
      </c>
      <c r="I45" s="84">
        <f>E45-G45+H45</f>
        <v>4504110</v>
      </c>
    </row>
    <row r="46" spans="1:9" s="31" customFormat="1" ht="24.75" customHeight="1">
      <c r="A46" s="23"/>
      <c r="B46" s="23"/>
      <c r="C46" s="279">
        <v>213</v>
      </c>
      <c r="D46" s="280" t="s">
        <v>205</v>
      </c>
      <c r="E46" s="19">
        <v>4254110</v>
      </c>
      <c r="F46" s="19"/>
      <c r="G46" s="19"/>
      <c r="H46" s="19">
        <v>250000</v>
      </c>
      <c r="I46" s="19">
        <f>E46-G46+H46</f>
        <v>4504110</v>
      </c>
    </row>
    <row r="47" spans="1:9" ht="19.5" customHeight="1">
      <c r="A47" s="54">
        <v>854</v>
      </c>
      <c r="B47" s="55"/>
      <c r="C47" s="55"/>
      <c r="D47" s="56" t="s">
        <v>280</v>
      </c>
      <c r="E47" s="57">
        <v>349259</v>
      </c>
      <c r="F47" s="57"/>
      <c r="G47" s="57"/>
      <c r="H47" s="57">
        <f>H48</f>
        <v>36242</v>
      </c>
      <c r="I47" s="57">
        <f t="shared" si="0"/>
        <v>385501</v>
      </c>
    </row>
    <row r="48" spans="1:9" ht="19.5" customHeight="1">
      <c r="A48" s="59"/>
      <c r="B48" s="511">
        <v>85495</v>
      </c>
      <c r="C48" s="512"/>
      <c r="D48" s="171" t="s">
        <v>235</v>
      </c>
      <c r="E48" s="62">
        <v>72000</v>
      </c>
      <c r="F48" s="62"/>
      <c r="G48" s="62"/>
      <c r="H48" s="62">
        <f>H49</f>
        <v>36242</v>
      </c>
      <c r="I48" s="62">
        <f>E48-G48+H48</f>
        <v>108242</v>
      </c>
    </row>
    <row r="49" spans="1:9" ht="26.25" customHeight="1">
      <c r="A49" s="239"/>
      <c r="B49" s="513"/>
      <c r="C49" s="514"/>
      <c r="D49" s="39" t="s">
        <v>406</v>
      </c>
      <c r="E49" s="39">
        <v>72000</v>
      </c>
      <c r="F49" s="39"/>
      <c r="G49" s="39"/>
      <c r="H49" s="39">
        <f>H50</f>
        <v>36242</v>
      </c>
      <c r="I49" s="39">
        <f>E49-G49+H49</f>
        <v>108242</v>
      </c>
    </row>
    <row r="50" spans="1:9" s="31" customFormat="1" ht="27.75" customHeight="1">
      <c r="A50" s="16"/>
      <c r="B50" s="513"/>
      <c r="C50" s="515">
        <v>213</v>
      </c>
      <c r="D50" s="280" t="s">
        <v>205</v>
      </c>
      <c r="E50" s="99">
        <v>72000</v>
      </c>
      <c r="F50" s="99"/>
      <c r="G50" s="99"/>
      <c r="H50" s="99">
        <v>36242</v>
      </c>
      <c r="I50" s="19">
        <f>E50-G50+H50</f>
        <v>108242</v>
      </c>
    </row>
    <row r="51" spans="1:9" ht="19.5" customHeight="1" thickBot="1">
      <c r="A51" s="13"/>
      <c r="B51" s="13"/>
      <c r="C51" s="13"/>
      <c r="D51" s="441" t="s">
        <v>236</v>
      </c>
      <c r="E51" s="510">
        <v>2774858</v>
      </c>
      <c r="F51" s="510"/>
      <c r="G51" s="510"/>
      <c r="H51" s="510"/>
      <c r="I51" s="510">
        <f t="shared" si="0"/>
        <v>2774858</v>
      </c>
    </row>
    <row r="52" spans="1:9" ht="28.5" customHeight="1" thickBot="1" thickTop="1">
      <c r="A52" s="29"/>
      <c r="B52" s="29"/>
      <c r="C52" s="29"/>
      <c r="D52" s="51" t="s">
        <v>258</v>
      </c>
      <c r="E52" s="52">
        <v>20294774</v>
      </c>
      <c r="F52" s="52"/>
      <c r="G52" s="52"/>
      <c r="H52" s="52">
        <f>H53</f>
        <v>12000</v>
      </c>
      <c r="I52" s="52">
        <f t="shared" si="0"/>
        <v>20306774</v>
      </c>
    </row>
    <row r="53" spans="1:9" ht="19.5" customHeight="1" thickTop="1">
      <c r="A53" s="54">
        <v>853</v>
      </c>
      <c r="B53" s="55"/>
      <c r="C53" s="55"/>
      <c r="D53" s="56" t="s">
        <v>216</v>
      </c>
      <c r="E53" s="57">
        <v>4171240</v>
      </c>
      <c r="F53" s="57"/>
      <c r="G53" s="57"/>
      <c r="H53" s="57">
        <f>H54</f>
        <v>12000</v>
      </c>
      <c r="I53" s="57">
        <f t="shared" si="0"/>
        <v>4183240</v>
      </c>
    </row>
    <row r="54" spans="1:9" ht="19.5" customHeight="1">
      <c r="A54" s="90"/>
      <c r="B54" s="10">
        <v>85321</v>
      </c>
      <c r="C54" s="10"/>
      <c r="D54" s="10" t="s">
        <v>397</v>
      </c>
      <c r="E54" s="62">
        <v>369200</v>
      </c>
      <c r="F54" s="62"/>
      <c r="G54" s="62"/>
      <c r="H54" s="62">
        <f>H55</f>
        <v>12000</v>
      </c>
      <c r="I54" s="62">
        <f t="shared" si="0"/>
        <v>381200</v>
      </c>
    </row>
    <row r="55" spans="1:9" ht="25.5" customHeight="1">
      <c r="A55" s="13"/>
      <c r="B55" s="13"/>
      <c r="C55" s="13"/>
      <c r="D55" s="38" t="s">
        <v>447</v>
      </c>
      <c r="E55" s="39">
        <v>359200</v>
      </c>
      <c r="F55" s="39"/>
      <c r="G55" s="39"/>
      <c r="H55" s="39">
        <f>H56</f>
        <v>12000</v>
      </c>
      <c r="I55" s="39">
        <f t="shared" si="0"/>
        <v>371200</v>
      </c>
    </row>
    <row r="56" spans="1:9" s="31" customFormat="1" ht="41.25" customHeight="1">
      <c r="A56" s="23"/>
      <c r="B56" s="23"/>
      <c r="C56" s="279">
        <v>211</v>
      </c>
      <c r="D56" s="280" t="s">
        <v>299</v>
      </c>
      <c r="E56" s="19">
        <v>359200</v>
      </c>
      <c r="F56" s="19"/>
      <c r="G56" s="19"/>
      <c r="H56" s="19">
        <v>12000</v>
      </c>
      <c r="I56" s="19">
        <f t="shared" si="0"/>
        <v>371200</v>
      </c>
    </row>
  </sheetData>
  <printOptions horizontalCentered="1"/>
  <pageMargins left="0.5905511811023623" right="0.5905511811023623" top="0.6692913385826772" bottom="0.5905511811023623" header="0.5118110236220472" footer="0.3937007874015748"/>
  <pageSetup firstPageNumber="17" useFirstPageNumber="1" horizontalDpi="300" verticalDpi="3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203"/>
  <sheetViews>
    <sheetView zoomScale="75" zoomScaleNormal="75" workbookViewId="0" topLeftCell="A1">
      <selection activeCell="E21" sqref="E21:H21"/>
    </sheetView>
  </sheetViews>
  <sheetFormatPr defaultColWidth="9.00390625" defaultRowHeight="12.75"/>
  <cols>
    <col min="1" max="1" width="5.25390625" style="27" customWidth="1"/>
    <col min="2" max="2" width="7.75390625" style="27" customWidth="1"/>
    <col min="3" max="3" width="7.625" style="27" customWidth="1"/>
    <col min="4" max="4" width="53.375" style="27" customWidth="1"/>
    <col min="5" max="5" width="18.75390625" style="27" customWidth="1"/>
    <col min="6" max="7" width="14.75390625" style="27" customWidth="1"/>
    <col min="8" max="8" width="18.75390625" style="27" customWidth="1"/>
    <col min="9" max="9" width="11.875" style="27" customWidth="1"/>
    <col min="10" max="10" width="12.375" style="27" customWidth="1"/>
    <col min="11" max="11" width="9.125" style="27" customWidth="1"/>
    <col min="12" max="12" width="11.00390625" style="27" customWidth="1"/>
    <col min="13" max="16384" width="9.125" style="27" customWidth="1"/>
  </cols>
  <sheetData>
    <row r="1" ht="18" customHeight="1">
      <c r="G1" s="27" t="s">
        <v>263</v>
      </c>
    </row>
    <row r="2" ht="18" customHeight="1">
      <c r="G2" s="27" t="s">
        <v>365</v>
      </c>
    </row>
    <row r="3" ht="18" customHeight="1">
      <c r="G3" s="27" t="s">
        <v>246</v>
      </c>
    </row>
    <row r="4" spans="4:7" ht="18" customHeight="1">
      <c r="D4" s="24" t="s">
        <v>237</v>
      </c>
      <c r="G4" s="27" t="s">
        <v>366</v>
      </c>
    </row>
    <row r="5" ht="18.75" customHeight="1" thickBot="1">
      <c r="H5" s="93" t="s">
        <v>332</v>
      </c>
    </row>
    <row r="6" spans="1:8" ht="79.5" customHeight="1" thickBot="1" thickTop="1">
      <c r="A6" s="41" t="s">
        <v>328</v>
      </c>
      <c r="B6" s="41" t="s">
        <v>329</v>
      </c>
      <c r="C6" s="42" t="s">
        <v>330</v>
      </c>
      <c r="D6" s="42" t="s">
        <v>238</v>
      </c>
      <c r="E6" s="42" t="s">
        <v>284</v>
      </c>
      <c r="F6" s="42" t="s">
        <v>214</v>
      </c>
      <c r="G6" s="42" t="s">
        <v>215</v>
      </c>
      <c r="H6" s="42" t="s">
        <v>227</v>
      </c>
    </row>
    <row r="7" spans="1:8" ht="15" customHeight="1" thickBot="1" thickTop="1">
      <c r="A7" s="25">
        <v>1</v>
      </c>
      <c r="B7" s="25">
        <v>2</v>
      </c>
      <c r="C7" s="25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</row>
    <row r="8" spans="1:12" ht="19.5" customHeight="1" thickBot="1" thickTop="1">
      <c r="A8" s="34"/>
      <c r="B8" s="65"/>
      <c r="C8" s="65"/>
      <c r="D8" s="66" t="s">
        <v>223</v>
      </c>
      <c r="E8" s="67">
        <v>666688246</v>
      </c>
      <c r="F8" s="67">
        <f>F10+F172+F173</f>
        <v>1957045</v>
      </c>
      <c r="G8" s="67">
        <f>G10+G172+G173</f>
        <v>2487243</v>
      </c>
      <c r="H8" s="67">
        <f>E8+G8-F8</f>
        <v>667218444</v>
      </c>
      <c r="I8" s="33">
        <f>G8-F8</f>
        <v>530198</v>
      </c>
      <c r="J8" s="33"/>
      <c r="K8" s="33"/>
      <c r="L8" s="33"/>
    </row>
    <row r="9" spans="1:10" ht="12.75" customHeight="1">
      <c r="A9" s="13"/>
      <c r="B9" s="13"/>
      <c r="C9" s="13"/>
      <c r="D9" s="13" t="s">
        <v>224</v>
      </c>
      <c r="E9" s="68"/>
      <c r="F9" s="68"/>
      <c r="G9" s="68"/>
      <c r="H9" s="68"/>
      <c r="J9" s="69"/>
    </row>
    <row r="10" spans="1:12" ht="19.5" customHeight="1" thickBot="1">
      <c r="A10" s="70"/>
      <c r="B10" s="70"/>
      <c r="C10" s="70"/>
      <c r="D10" s="6" t="s">
        <v>334</v>
      </c>
      <c r="E10" s="71">
        <v>609197619</v>
      </c>
      <c r="F10" s="71">
        <f>F22+F29+F48+F52+F108+F123+F131+F156+F161+F41+F11</f>
        <v>1219132</v>
      </c>
      <c r="G10" s="71">
        <f>G22+G29+G48+G52+G108+G123+G131+G156+G161+G41+G11</f>
        <v>1917340</v>
      </c>
      <c r="H10" s="71">
        <f>E10+G10-F10</f>
        <v>609895827</v>
      </c>
      <c r="J10" s="33"/>
      <c r="L10" s="33"/>
    </row>
    <row r="11" spans="1:12" ht="19.5" customHeight="1" thickTop="1">
      <c r="A11" s="8">
        <v>700</v>
      </c>
      <c r="B11" s="8"/>
      <c r="C11" s="8"/>
      <c r="D11" s="8" t="s">
        <v>818</v>
      </c>
      <c r="E11" s="105">
        <v>9938000</v>
      </c>
      <c r="F11" s="105">
        <f>F12</f>
        <v>80000</v>
      </c>
      <c r="G11" s="105">
        <f>G12</f>
        <v>80000</v>
      </c>
      <c r="H11" s="105">
        <f>E11+G11-F11</f>
        <v>9938000</v>
      </c>
      <c r="J11" s="33"/>
      <c r="L11" s="33"/>
    </row>
    <row r="12" spans="1:12" ht="19.5" customHeight="1">
      <c r="A12" s="13"/>
      <c r="B12" s="10">
        <v>70001</v>
      </c>
      <c r="C12" s="10"/>
      <c r="D12" s="10" t="s">
        <v>811</v>
      </c>
      <c r="E12" s="244">
        <v>5200000</v>
      </c>
      <c r="F12" s="244">
        <f>F13</f>
        <v>80000</v>
      </c>
      <c r="G12" s="244">
        <f>G13</f>
        <v>80000</v>
      </c>
      <c r="H12" s="244">
        <f>E12+G12-F12</f>
        <v>5200000</v>
      </c>
      <c r="J12" s="33"/>
      <c r="L12" s="33"/>
    </row>
    <row r="13" spans="1:12" ht="19.5" customHeight="1">
      <c r="A13" s="13"/>
      <c r="B13" s="13"/>
      <c r="C13" s="13"/>
      <c r="D13" s="38" t="s">
        <v>820</v>
      </c>
      <c r="E13" s="729">
        <v>5200000</v>
      </c>
      <c r="F13" s="729">
        <f>F21</f>
        <v>80000</v>
      </c>
      <c r="G13" s="729">
        <f>G21</f>
        <v>80000</v>
      </c>
      <c r="H13" s="100">
        <f>E13+G13-F13</f>
        <v>5200000</v>
      </c>
      <c r="J13" s="33"/>
      <c r="L13" s="33"/>
    </row>
    <row r="14" spans="1:12" ht="19.5" customHeight="1">
      <c r="A14" s="13"/>
      <c r="B14" s="13"/>
      <c r="C14" s="13"/>
      <c r="D14" s="718" t="s">
        <v>812</v>
      </c>
      <c r="E14" s="723">
        <v>2015000</v>
      </c>
      <c r="F14" s="723">
        <f>F15</f>
        <v>40000</v>
      </c>
      <c r="G14" s="723"/>
      <c r="H14" s="723">
        <f>E14-F14+G14</f>
        <v>1975000</v>
      </c>
      <c r="J14" s="33"/>
      <c r="L14" s="33"/>
    </row>
    <row r="15" spans="1:12" ht="19.5" customHeight="1">
      <c r="A15" s="13"/>
      <c r="B15" s="13"/>
      <c r="C15" s="13"/>
      <c r="D15" s="716" t="s">
        <v>813</v>
      </c>
      <c r="E15" s="722">
        <v>1795000</v>
      </c>
      <c r="F15" s="722">
        <f>F16</f>
        <v>40000</v>
      </c>
      <c r="G15" s="722"/>
      <c r="H15" s="722">
        <f aca="true" t="shared" si="0" ref="H15:H21">E15-F15+G15</f>
        <v>1755000</v>
      </c>
      <c r="J15" s="33"/>
      <c r="L15" s="33"/>
    </row>
    <row r="16" spans="1:12" ht="19.5" customHeight="1">
      <c r="A16" s="13"/>
      <c r="B16" s="13"/>
      <c r="C16" s="13"/>
      <c r="D16" s="339" t="s">
        <v>814</v>
      </c>
      <c r="E16" s="720">
        <v>680000</v>
      </c>
      <c r="F16" s="720">
        <v>40000</v>
      </c>
      <c r="G16" s="720"/>
      <c r="H16" s="720">
        <f t="shared" si="0"/>
        <v>640000</v>
      </c>
      <c r="J16" s="33"/>
      <c r="L16" s="33"/>
    </row>
    <row r="17" spans="1:12" ht="19.5" customHeight="1">
      <c r="A17" s="13"/>
      <c r="B17" s="13"/>
      <c r="C17" s="13"/>
      <c r="D17" s="719" t="s">
        <v>815</v>
      </c>
      <c r="E17" s="721">
        <v>2055000</v>
      </c>
      <c r="F17" s="721">
        <f>F18</f>
        <v>40000</v>
      </c>
      <c r="G17" s="721">
        <f>G18</f>
        <v>80000</v>
      </c>
      <c r="H17" s="721">
        <f t="shared" si="0"/>
        <v>2095000</v>
      </c>
      <c r="J17" s="33"/>
      <c r="L17" s="33"/>
    </row>
    <row r="18" spans="1:12" ht="19.5" customHeight="1">
      <c r="A18" s="13"/>
      <c r="B18" s="13"/>
      <c r="C18" s="13"/>
      <c r="D18" s="716" t="s">
        <v>813</v>
      </c>
      <c r="E18" s="722">
        <v>1950000</v>
      </c>
      <c r="F18" s="722">
        <f>SUM(F19:F20)</f>
        <v>40000</v>
      </c>
      <c r="G18" s="722">
        <f>SUM(G19:G20)</f>
        <v>80000</v>
      </c>
      <c r="H18" s="722">
        <f t="shared" si="0"/>
        <v>1990000</v>
      </c>
      <c r="J18" s="33"/>
      <c r="L18" s="33"/>
    </row>
    <row r="19" spans="1:12" ht="19.5" customHeight="1">
      <c r="A19" s="13"/>
      <c r="B19" s="13"/>
      <c r="C19" s="13"/>
      <c r="D19" s="336" t="s">
        <v>816</v>
      </c>
      <c r="E19" s="720">
        <v>1400000</v>
      </c>
      <c r="F19" s="720"/>
      <c r="G19" s="720">
        <v>80000</v>
      </c>
      <c r="H19" s="720">
        <f t="shared" si="0"/>
        <v>1480000</v>
      </c>
      <c r="J19" s="33"/>
      <c r="L19" s="33"/>
    </row>
    <row r="20" spans="1:12" ht="19.5" customHeight="1">
      <c r="A20" s="13"/>
      <c r="B20" s="13"/>
      <c r="C20" s="13"/>
      <c r="D20" s="698" t="s">
        <v>817</v>
      </c>
      <c r="E20" s="728">
        <v>550000</v>
      </c>
      <c r="F20" s="728">
        <v>40000</v>
      </c>
      <c r="G20" s="728"/>
      <c r="H20" s="728">
        <f t="shared" si="0"/>
        <v>510000</v>
      </c>
      <c r="J20" s="33"/>
      <c r="L20" s="33"/>
    </row>
    <row r="21" spans="1:12" ht="25.5" customHeight="1">
      <c r="A21" s="29"/>
      <c r="B21" s="29"/>
      <c r="C21" s="21">
        <v>2650</v>
      </c>
      <c r="D21" s="12" t="s">
        <v>819</v>
      </c>
      <c r="E21" s="562">
        <v>4900000</v>
      </c>
      <c r="F21" s="562">
        <f>F14+F17</f>
        <v>80000</v>
      </c>
      <c r="G21" s="562">
        <f>G14+G17</f>
        <v>80000</v>
      </c>
      <c r="H21" s="562">
        <f t="shared" si="0"/>
        <v>4900000</v>
      </c>
      <c r="J21" s="33"/>
      <c r="L21" s="33"/>
    </row>
    <row r="22" spans="1:12" ht="19.5" customHeight="1">
      <c r="A22" s="8">
        <v>710</v>
      </c>
      <c r="B22" s="8"/>
      <c r="C22" s="8"/>
      <c r="D22" s="8" t="s">
        <v>415</v>
      </c>
      <c r="E22" s="105">
        <v>1964500</v>
      </c>
      <c r="F22" s="105">
        <f>F23+F26</f>
        <v>6000</v>
      </c>
      <c r="G22" s="105">
        <f>G23+G26</f>
        <v>6000</v>
      </c>
      <c r="H22" s="105">
        <f aca="true" t="shared" si="1" ref="H22:H29">E22+G22-F22</f>
        <v>1964500</v>
      </c>
      <c r="J22" s="33"/>
      <c r="L22" s="33"/>
    </row>
    <row r="23" spans="1:12" ht="19.5" customHeight="1">
      <c r="A23" s="13"/>
      <c r="B23" s="70">
        <v>71014</v>
      </c>
      <c r="C23" s="70"/>
      <c r="D23" s="70" t="s">
        <v>416</v>
      </c>
      <c r="E23" s="244">
        <v>800000</v>
      </c>
      <c r="F23" s="244">
        <f>F24</f>
        <v>6000</v>
      </c>
      <c r="G23" s="244"/>
      <c r="H23" s="244">
        <f t="shared" si="1"/>
        <v>794000</v>
      </c>
      <c r="J23" s="33"/>
      <c r="L23" s="33"/>
    </row>
    <row r="24" spans="1:12" ht="26.25" customHeight="1">
      <c r="A24" s="13"/>
      <c r="B24" s="85"/>
      <c r="C24" s="85"/>
      <c r="D24" s="38" t="s">
        <v>417</v>
      </c>
      <c r="E24" s="100">
        <v>800000</v>
      </c>
      <c r="F24" s="100">
        <f>F25</f>
        <v>6000</v>
      </c>
      <c r="G24" s="100"/>
      <c r="H24" s="100">
        <f t="shared" si="1"/>
        <v>794000</v>
      </c>
      <c r="J24" s="33"/>
      <c r="L24" s="33"/>
    </row>
    <row r="25" spans="1:12" ht="19.5" customHeight="1">
      <c r="A25" s="29"/>
      <c r="B25" s="29"/>
      <c r="C25" s="23">
        <v>4300</v>
      </c>
      <c r="D25" s="505" t="s">
        <v>336</v>
      </c>
      <c r="E25" s="247">
        <v>800000</v>
      </c>
      <c r="F25" s="247">
        <v>6000</v>
      </c>
      <c r="G25" s="247"/>
      <c r="H25" s="247">
        <f t="shared" si="1"/>
        <v>794000</v>
      </c>
      <c r="J25" s="33"/>
      <c r="L25" s="33"/>
    </row>
    <row r="26" spans="1:12" ht="19.5" customHeight="1">
      <c r="A26" s="63"/>
      <c r="B26" s="73">
        <v>71095</v>
      </c>
      <c r="C26" s="167"/>
      <c r="D26" s="167" t="s">
        <v>235</v>
      </c>
      <c r="E26" s="244"/>
      <c r="F26" s="244"/>
      <c r="G26" s="244">
        <f>G27</f>
        <v>6000</v>
      </c>
      <c r="H26" s="244">
        <f t="shared" si="1"/>
        <v>6000</v>
      </c>
      <c r="J26" s="33"/>
      <c r="L26" s="33"/>
    </row>
    <row r="27" spans="1:12" ht="25.5" customHeight="1">
      <c r="A27" s="63"/>
      <c r="B27" s="170"/>
      <c r="C27" s="13"/>
      <c r="D27" s="38" t="s">
        <v>830</v>
      </c>
      <c r="E27" s="100"/>
      <c r="F27" s="100"/>
      <c r="G27" s="100">
        <f>G28</f>
        <v>6000</v>
      </c>
      <c r="H27" s="100">
        <f t="shared" si="1"/>
        <v>6000</v>
      </c>
      <c r="J27" s="33"/>
      <c r="L27" s="33"/>
    </row>
    <row r="28" spans="1:12" ht="27.75" customHeight="1">
      <c r="A28" s="29"/>
      <c r="B28" s="29"/>
      <c r="C28" s="23">
        <v>6010</v>
      </c>
      <c r="D28" s="12" t="s">
        <v>418</v>
      </c>
      <c r="E28" s="247"/>
      <c r="F28" s="247"/>
      <c r="G28" s="247">
        <v>6000</v>
      </c>
      <c r="H28" s="247">
        <f t="shared" si="1"/>
        <v>6000</v>
      </c>
      <c r="J28" s="33"/>
      <c r="L28" s="33"/>
    </row>
    <row r="29" spans="1:12" ht="19.5" customHeight="1">
      <c r="A29" s="8">
        <v>750</v>
      </c>
      <c r="B29" s="8"/>
      <c r="C29" s="8"/>
      <c r="D29" s="8" t="s">
        <v>371</v>
      </c>
      <c r="E29" s="9">
        <v>45335000</v>
      </c>
      <c r="F29" s="9">
        <f>F30+F36</f>
        <v>62000</v>
      </c>
      <c r="G29" s="9">
        <f>G30+G36</f>
        <v>62000</v>
      </c>
      <c r="H29" s="9">
        <f t="shared" si="1"/>
        <v>45335000</v>
      </c>
      <c r="J29" s="33"/>
      <c r="L29" s="33"/>
    </row>
    <row r="30" spans="1:12" ht="19.5" customHeight="1">
      <c r="A30" s="13"/>
      <c r="B30" s="10">
        <v>75023</v>
      </c>
      <c r="C30" s="10"/>
      <c r="D30" s="10" t="s">
        <v>372</v>
      </c>
      <c r="E30" s="145">
        <v>42880000</v>
      </c>
      <c r="F30" s="145">
        <f>F31+F33</f>
        <v>20000</v>
      </c>
      <c r="G30" s="145">
        <f>G31+G33</f>
        <v>20000</v>
      </c>
      <c r="H30" s="145">
        <f aca="true" t="shared" si="2" ref="H30:H123">E30+G30-F30</f>
        <v>42880000</v>
      </c>
      <c r="J30" s="33"/>
      <c r="L30" s="33"/>
    </row>
    <row r="31" spans="1:12" ht="19.5" customHeight="1">
      <c r="A31" s="13"/>
      <c r="B31" s="85"/>
      <c r="C31" s="85"/>
      <c r="D31" s="38" t="s">
        <v>304</v>
      </c>
      <c r="E31" s="100">
        <v>9415000</v>
      </c>
      <c r="F31" s="100"/>
      <c r="G31" s="100">
        <f>G32</f>
        <v>20000</v>
      </c>
      <c r="H31" s="100">
        <f t="shared" si="2"/>
        <v>9435000</v>
      </c>
      <c r="J31" s="33"/>
      <c r="L31" s="33"/>
    </row>
    <row r="32" spans="1:12" ht="20.25" customHeight="1">
      <c r="A32" s="13"/>
      <c r="B32" s="13"/>
      <c r="C32" s="23">
        <v>4210</v>
      </c>
      <c r="D32" s="23" t="s">
        <v>302</v>
      </c>
      <c r="E32" s="15">
        <v>1465000</v>
      </c>
      <c r="F32" s="15"/>
      <c r="G32" s="15">
        <v>20000</v>
      </c>
      <c r="H32" s="15">
        <f t="shared" si="2"/>
        <v>1485000</v>
      </c>
      <c r="J32" s="33"/>
      <c r="L32" s="33"/>
    </row>
    <row r="33" spans="1:12" ht="19.5" customHeight="1">
      <c r="A33" s="13"/>
      <c r="B33" s="13"/>
      <c r="C33" s="85"/>
      <c r="D33" s="38" t="s">
        <v>324</v>
      </c>
      <c r="E33" s="100">
        <v>585000</v>
      </c>
      <c r="F33" s="100">
        <f>F35</f>
        <v>20000</v>
      </c>
      <c r="G33" s="100"/>
      <c r="H33" s="100">
        <f t="shared" si="2"/>
        <v>565000</v>
      </c>
      <c r="J33" s="33"/>
      <c r="L33" s="33"/>
    </row>
    <row r="34" spans="1:12" ht="19.5" customHeight="1">
      <c r="A34" s="13"/>
      <c r="B34" s="13"/>
      <c r="C34" s="13"/>
      <c r="D34" s="439" t="s">
        <v>213</v>
      </c>
      <c r="E34" s="454">
        <v>285000</v>
      </c>
      <c r="F34" s="454">
        <v>20000</v>
      </c>
      <c r="G34" s="454"/>
      <c r="H34" s="454">
        <f>E34-F34+G34</f>
        <v>265000</v>
      </c>
      <c r="J34" s="33"/>
      <c r="L34" s="33"/>
    </row>
    <row r="35" spans="1:12" ht="20.25" customHeight="1">
      <c r="A35" s="13"/>
      <c r="B35" s="29"/>
      <c r="C35" s="23">
        <v>6060</v>
      </c>
      <c r="D35" s="23" t="s">
        <v>212</v>
      </c>
      <c r="E35" s="15">
        <v>285000</v>
      </c>
      <c r="F35" s="15">
        <f>F34</f>
        <v>20000</v>
      </c>
      <c r="G35" s="15"/>
      <c r="H35" s="15">
        <f t="shared" si="2"/>
        <v>265000</v>
      </c>
      <c r="J35" s="33"/>
      <c r="L35" s="33"/>
    </row>
    <row r="36" spans="1:12" ht="19.5" customHeight="1">
      <c r="A36" s="13"/>
      <c r="B36" s="70">
        <v>75095</v>
      </c>
      <c r="C36" s="70"/>
      <c r="D36" s="70" t="s">
        <v>235</v>
      </c>
      <c r="E36" s="244">
        <v>885000</v>
      </c>
      <c r="F36" s="244">
        <f>F37</f>
        <v>42000</v>
      </c>
      <c r="G36" s="244">
        <f>G37</f>
        <v>42000</v>
      </c>
      <c r="H36" s="244">
        <f t="shared" si="2"/>
        <v>885000</v>
      </c>
      <c r="J36" s="33"/>
      <c r="L36" s="33"/>
    </row>
    <row r="37" spans="1:12" ht="19.5" customHeight="1">
      <c r="A37" s="13"/>
      <c r="B37" s="85"/>
      <c r="C37" s="85"/>
      <c r="D37" s="38" t="s">
        <v>379</v>
      </c>
      <c r="E37" s="100">
        <v>860000</v>
      </c>
      <c r="F37" s="100">
        <f>SUM(F38:F40)</f>
        <v>42000</v>
      </c>
      <c r="G37" s="100">
        <f>SUM(G38:G40)</f>
        <v>42000</v>
      </c>
      <c r="H37" s="100">
        <f t="shared" si="2"/>
        <v>860000</v>
      </c>
      <c r="J37" s="33"/>
      <c r="L37" s="33"/>
    </row>
    <row r="38" spans="1:12" ht="20.25" customHeight="1">
      <c r="A38" s="13"/>
      <c r="B38" s="13"/>
      <c r="C38" s="23">
        <v>4300</v>
      </c>
      <c r="D38" s="23" t="s">
        <v>336</v>
      </c>
      <c r="E38" s="15">
        <v>590000</v>
      </c>
      <c r="F38" s="15"/>
      <c r="G38" s="15">
        <v>40000</v>
      </c>
      <c r="H38" s="15">
        <f t="shared" si="2"/>
        <v>630000</v>
      </c>
      <c r="J38" s="33"/>
      <c r="L38" s="33"/>
    </row>
    <row r="39" spans="1:12" ht="20.25" customHeight="1">
      <c r="A39" s="13"/>
      <c r="B39" s="13"/>
      <c r="C39" s="23">
        <v>4410</v>
      </c>
      <c r="D39" s="23" t="s">
        <v>380</v>
      </c>
      <c r="E39" s="15">
        <v>4500</v>
      </c>
      <c r="F39" s="15"/>
      <c r="G39" s="15">
        <v>2000</v>
      </c>
      <c r="H39" s="15">
        <f t="shared" si="2"/>
        <v>6500</v>
      </c>
      <c r="J39" s="33"/>
      <c r="L39" s="33"/>
    </row>
    <row r="40" spans="1:12" ht="20.25" customHeight="1">
      <c r="A40" s="13"/>
      <c r="B40" s="13"/>
      <c r="C40" s="23">
        <v>4420</v>
      </c>
      <c r="D40" s="23" t="s">
        <v>381</v>
      </c>
      <c r="E40" s="15">
        <v>87500</v>
      </c>
      <c r="F40" s="15">
        <f>2000+40000</f>
        <v>42000</v>
      </c>
      <c r="G40" s="15"/>
      <c r="H40" s="15">
        <f>E40-F40+G40</f>
        <v>45500</v>
      </c>
      <c r="J40" s="33"/>
      <c r="L40" s="33"/>
    </row>
    <row r="41" spans="1:12" ht="19.5" customHeight="1">
      <c r="A41" s="95">
        <v>754</v>
      </c>
      <c r="B41" s="95"/>
      <c r="C41" s="95"/>
      <c r="D41" s="95" t="s">
        <v>127</v>
      </c>
      <c r="E41" s="340">
        <v>4521000</v>
      </c>
      <c r="F41" s="340">
        <f>F42+F45</f>
        <v>400000</v>
      </c>
      <c r="G41" s="340">
        <f>G42+G45</f>
        <v>400000</v>
      </c>
      <c r="H41" s="340">
        <f t="shared" si="2"/>
        <v>4521000</v>
      </c>
      <c r="J41" s="33"/>
      <c r="L41" s="33"/>
    </row>
    <row r="42" spans="1:12" ht="19.5" customHeight="1">
      <c r="A42" s="13"/>
      <c r="B42" s="10">
        <v>75405</v>
      </c>
      <c r="C42" s="10"/>
      <c r="D42" s="10" t="s">
        <v>128</v>
      </c>
      <c r="E42" s="145">
        <v>400000</v>
      </c>
      <c r="F42" s="145">
        <f>F43</f>
        <v>400000</v>
      </c>
      <c r="G42" s="145"/>
      <c r="H42" s="145">
        <f t="shared" si="2"/>
        <v>0</v>
      </c>
      <c r="J42" s="33"/>
      <c r="L42" s="33"/>
    </row>
    <row r="43" spans="1:12" ht="26.25" customHeight="1">
      <c r="A43" s="13"/>
      <c r="B43" s="85"/>
      <c r="C43" s="85"/>
      <c r="D43" s="38" t="s">
        <v>831</v>
      </c>
      <c r="E43" s="100">
        <v>400000</v>
      </c>
      <c r="F43" s="100">
        <f>F44</f>
        <v>400000</v>
      </c>
      <c r="G43" s="100"/>
      <c r="H43" s="100">
        <f t="shared" si="2"/>
        <v>0</v>
      </c>
      <c r="J43" s="33"/>
      <c r="L43" s="33"/>
    </row>
    <row r="44" spans="1:12" ht="19.5" customHeight="1">
      <c r="A44" s="13"/>
      <c r="B44" s="29"/>
      <c r="C44" s="23">
        <v>6050</v>
      </c>
      <c r="D44" s="12" t="s">
        <v>303</v>
      </c>
      <c r="E44" s="15">
        <v>400000</v>
      </c>
      <c r="F44" s="15">
        <v>400000</v>
      </c>
      <c r="G44" s="15"/>
      <c r="H44" s="15">
        <f t="shared" si="2"/>
        <v>0</v>
      </c>
      <c r="J44" s="33"/>
      <c r="L44" s="33"/>
    </row>
    <row r="45" spans="1:12" ht="19.5" customHeight="1">
      <c r="A45" s="13"/>
      <c r="B45" s="70">
        <v>75495</v>
      </c>
      <c r="C45" s="70"/>
      <c r="D45" s="70" t="s">
        <v>235</v>
      </c>
      <c r="E45" s="145">
        <v>150000</v>
      </c>
      <c r="F45" s="145"/>
      <c r="G45" s="145">
        <f>G46</f>
        <v>400000</v>
      </c>
      <c r="H45" s="145">
        <f t="shared" si="2"/>
        <v>550000</v>
      </c>
      <c r="J45" s="33"/>
      <c r="L45" s="33"/>
    </row>
    <row r="46" spans="1:12" ht="19.5" customHeight="1">
      <c r="A46" s="13"/>
      <c r="B46" s="13"/>
      <c r="C46" s="13"/>
      <c r="D46" s="248" t="s">
        <v>130</v>
      </c>
      <c r="E46" s="100">
        <v>150000</v>
      </c>
      <c r="F46" s="100"/>
      <c r="G46" s="100">
        <f>G47</f>
        <v>400000</v>
      </c>
      <c r="H46" s="100">
        <f t="shared" si="2"/>
        <v>550000</v>
      </c>
      <c r="J46" s="33"/>
      <c r="L46" s="33"/>
    </row>
    <row r="47" spans="1:12" ht="19.5" customHeight="1">
      <c r="A47" s="29"/>
      <c r="B47" s="29"/>
      <c r="C47" s="23">
        <v>6050</v>
      </c>
      <c r="D47" s="102" t="s">
        <v>303</v>
      </c>
      <c r="E47" s="15">
        <v>150000</v>
      </c>
      <c r="F47" s="15"/>
      <c r="G47" s="15">
        <v>400000</v>
      </c>
      <c r="H47" s="15">
        <f t="shared" si="2"/>
        <v>550000</v>
      </c>
      <c r="J47" s="33"/>
      <c r="L47" s="33"/>
    </row>
    <row r="48" spans="1:12" ht="19.5" customHeight="1">
      <c r="A48" s="95">
        <v>758</v>
      </c>
      <c r="B48" s="95"/>
      <c r="C48" s="95"/>
      <c r="D48" s="95" t="s">
        <v>289</v>
      </c>
      <c r="E48" s="340">
        <v>3532639</v>
      </c>
      <c r="F48" s="340">
        <f>F49</f>
        <v>140000</v>
      </c>
      <c r="G48" s="340"/>
      <c r="H48" s="340">
        <f t="shared" si="2"/>
        <v>3392639</v>
      </c>
      <c r="J48" s="33"/>
      <c r="L48" s="33"/>
    </row>
    <row r="49" spans="1:12" ht="19.5" customHeight="1">
      <c r="A49" s="13"/>
      <c r="B49" s="10">
        <v>75818</v>
      </c>
      <c r="C49" s="10"/>
      <c r="D49" s="10" t="s">
        <v>290</v>
      </c>
      <c r="E49" s="145">
        <v>3482639</v>
      </c>
      <c r="F49" s="145">
        <f>F50</f>
        <v>140000</v>
      </c>
      <c r="G49" s="145"/>
      <c r="H49" s="145">
        <f t="shared" si="2"/>
        <v>3342639</v>
      </c>
      <c r="J49" s="33"/>
      <c r="L49" s="33"/>
    </row>
    <row r="50" spans="1:12" ht="19.5" customHeight="1">
      <c r="A50" s="13"/>
      <c r="B50" s="85"/>
      <c r="C50" s="85"/>
      <c r="D50" s="248" t="s">
        <v>300</v>
      </c>
      <c r="E50" s="100">
        <v>3382639</v>
      </c>
      <c r="F50" s="100">
        <f>F51</f>
        <v>140000</v>
      </c>
      <c r="G50" s="100"/>
      <c r="H50" s="100">
        <f t="shared" si="2"/>
        <v>3242639</v>
      </c>
      <c r="J50" s="33"/>
      <c r="L50" s="33"/>
    </row>
    <row r="51" spans="1:12" ht="19.5" customHeight="1">
      <c r="A51" s="29"/>
      <c r="B51" s="29"/>
      <c r="C51" s="23">
        <v>4810</v>
      </c>
      <c r="D51" s="23" t="s">
        <v>301</v>
      </c>
      <c r="E51" s="15">
        <v>3382639</v>
      </c>
      <c r="F51" s="15">
        <v>140000</v>
      </c>
      <c r="G51" s="15"/>
      <c r="H51" s="15">
        <f t="shared" si="2"/>
        <v>3242639</v>
      </c>
      <c r="J51" s="33"/>
      <c r="L51" s="33"/>
    </row>
    <row r="52" spans="1:12" ht="19.5" customHeight="1">
      <c r="A52" s="8">
        <v>801</v>
      </c>
      <c r="B52" s="8"/>
      <c r="C52" s="8"/>
      <c r="D52" s="8" t="s">
        <v>262</v>
      </c>
      <c r="E52" s="9">
        <v>251354179</v>
      </c>
      <c r="F52" s="9">
        <f>F99+F103+F86+F77+F70+F53+F64</f>
        <v>350709</v>
      </c>
      <c r="G52" s="9">
        <f>G99+G103+G86+G77+G70+G53+G64</f>
        <v>708334</v>
      </c>
      <c r="H52" s="9">
        <f t="shared" si="2"/>
        <v>251711804</v>
      </c>
      <c r="I52" s="33">
        <f>G52-F52</f>
        <v>357625</v>
      </c>
      <c r="J52" s="33"/>
      <c r="L52" s="33"/>
    </row>
    <row r="53" spans="1:12" ht="19.5" customHeight="1">
      <c r="A53" s="13"/>
      <c r="B53" s="70">
        <v>80101</v>
      </c>
      <c r="C53" s="70"/>
      <c r="D53" s="70" t="s">
        <v>450</v>
      </c>
      <c r="E53" s="18">
        <v>81834759</v>
      </c>
      <c r="F53" s="18">
        <f>F54+F61</f>
        <v>57295</v>
      </c>
      <c r="G53" s="18">
        <f>G54+G61</f>
        <v>107295</v>
      </c>
      <c r="H53" s="18">
        <f t="shared" si="2"/>
        <v>81884759</v>
      </c>
      <c r="J53" s="33"/>
      <c r="L53" s="33"/>
    </row>
    <row r="54" spans="1:12" ht="19.5" customHeight="1">
      <c r="A54" s="13"/>
      <c r="B54" s="85"/>
      <c r="C54" s="85"/>
      <c r="D54" s="38" t="s">
        <v>451</v>
      </c>
      <c r="E54" s="100">
        <v>11467325</v>
      </c>
      <c r="F54" s="100">
        <f>SUM(F55:F60)</f>
        <v>57200</v>
      </c>
      <c r="G54" s="100">
        <f>SUM(G55:G60)</f>
        <v>107200</v>
      </c>
      <c r="H54" s="100">
        <f t="shared" si="2"/>
        <v>11517325</v>
      </c>
      <c r="J54" s="33"/>
      <c r="L54" s="33"/>
    </row>
    <row r="55" spans="1:12" ht="19.5" customHeight="1">
      <c r="A55" s="16"/>
      <c r="B55" s="13"/>
      <c r="C55" s="23">
        <v>3020</v>
      </c>
      <c r="D55" s="23" t="s">
        <v>377</v>
      </c>
      <c r="E55" s="15">
        <v>288790</v>
      </c>
      <c r="F55" s="15">
        <v>23959</v>
      </c>
      <c r="G55" s="15"/>
      <c r="H55" s="15">
        <f t="shared" si="2"/>
        <v>264831</v>
      </c>
      <c r="J55" s="33"/>
      <c r="L55" s="33"/>
    </row>
    <row r="56" spans="1:12" ht="18.75" customHeight="1">
      <c r="A56" s="13"/>
      <c r="B56" s="13"/>
      <c r="C56" s="532">
        <v>4210</v>
      </c>
      <c r="D56" s="532" t="s">
        <v>302</v>
      </c>
      <c r="E56" s="19">
        <v>1219071</v>
      </c>
      <c r="F56" s="19">
        <f>1041-500</f>
        <v>541</v>
      </c>
      <c r="G56" s="19"/>
      <c r="H56" s="19">
        <f>E56-F56+G56</f>
        <v>1218530</v>
      </c>
      <c r="J56" s="33"/>
      <c r="L56" s="33"/>
    </row>
    <row r="57" spans="1:12" ht="19.5" customHeight="1">
      <c r="A57" s="16"/>
      <c r="B57" s="13"/>
      <c r="C57" s="533">
        <v>4240</v>
      </c>
      <c r="D57" s="533" t="s">
        <v>452</v>
      </c>
      <c r="E57" s="15">
        <v>408861</v>
      </c>
      <c r="F57" s="15">
        <v>32700</v>
      </c>
      <c r="G57" s="15"/>
      <c r="H57" s="19">
        <f>E57-F57+G57</f>
        <v>376161</v>
      </c>
      <c r="J57" s="33"/>
      <c r="L57" s="33"/>
    </row>
    <row r="58" spans="1:12" ht="18.75" customHeight="1">
      <c r="A58" s="13"/>
      <c r="B58" s="13"/>
      <c r="C58" s="533">
        <v>4260</v>
      </c>
      <c r="D58" s="533" t="s">
        <v>392</v>
      </c>
      <c r="E58" s="19">
        <v>5003364</v>
      </c>
      <c r="F58" s="19"/>
      <c r="G58" s="19">
        <f>95000-39300</f>
        <v>55700</v>
      </c>
      <c r="H58" s="19">
        <f>E58-F58+G58</f>
        <v>5059064</v>
      </c>
      <c r="J58" s="33"/>
      <c r="L58" s="33"/>
    </row>
    <row r="59" spans="1:12" ht="18.75" customHeight="1">
      <c r="A59" s="13"/>
      <c r="B59" s="13"/>
      <c r="C59" s="533">
        <v>4270</v>
      </c>
      <c r="D59" s="533" t="s">
        <v>454</v>
      </c>
      <c r="E59" s="19">
        <v>33610</v>
      </c>
      <c r="F59" s="19"/>
      <c r="G59" s="19">
        <v>50000</v>
      </c>
      <c r="H59" s="19">
        <f>E59-F59+G59</f>
        <v>83610</v>
      </c>
      <c r="J59" s="33"/>
      <c r="L59" s="33"/>
    </row>
    <row r="60" spans="1:12" ht="18.75" customHeight="1">
      <c r="A60" s="13"/>
      <c r="B60" s="13"/>
      <c r="C60" s="532">
        <v>4300</v>
      </c>
      <c r="D60" s="532" t="s">
        <v>336</v>
      </c>
      <c r="E60" s="730">
        <v>1168639</v>
      </c>
      <c r="F60" s="730"/>
      <c r="G60" s="730">
        <f>6500-5000</f>
        <v>1500</v>
      </c>
      <c r="H60" s="730">
        <f>E60-F60+G60</f>
        <v>1170139</v>
      </c>
      <c r="J60" s="33"/>
      <c r="L60" s="33"/>
    </row>
    <row r="61" spans="1:12" ht="18.75" customHeight="1">
      <c r="A61" s="13"/>
      <c r="B61" s="13"/>
      <c r="C61" s="13"/>
      <c r="D61" s="246" t="s">
        <v>211</v>
      </c>
      <c r="E61" s="163">
        <v>10897300</v>
      </c>
      <c r="F61" s="163">
        <f>SUM(F62:F63)</f>
        <v>95</v>
      </c>
      <c r="G61" s="163">
        <f>SUM(G62:G63)</f>
        <v>95</v>
      </c>
      <c r="H61" s="163">
        <f t="shared" si="2"/>
        <v>10897300</v>
      </c>
      <c r="J61" s="33"/>
      <c r="L61" s="33"/>
    </row>
    <row r="62" spans="1:12" ht="18.75" customHeight="1">
      <c r="A62" s="16"/>
      <c r="B62" s="13"/>
      <c r="C62" s="23">
        <v>4110</v>
      </c>
      <c r="D62" s="23" t="s">
        <v>338</v>
      </c>
      <c r="E62" s="15">
        <v>9626615</v>
      </c>
      <c r="F62" s="15">
        <f>800-705</f>
        <v>95</v>
      </c>
      <c r="G62" s="15"/>
      <c r="H62" s="15">
        <f t="shared" si="2"/>
        <v>9626520</v>
      </c>
      <c r="J62" s="33"/>
      <c r="L62" s="33"/>
    </row>
    <row r="63" spans="1:12" ht="18.75" customHeight="1">
      <c r="A63" s="13"/>
      <c r="B63" s="29"/>
      <c r="C63" s="532">
        <v>4120</v>
      </c>
      <c r="D63" s="532" t="s">
        <v>339</v>
      </c>
      <c r="E63" s="19">
        <v>1270685</v>
      </c>
      <c r="F63" s="19"/>
      <c r="G63" s="19">
        <v>95</v>
      </c>
      <c r="H63" s="19">
        <f>E63-F63+G63</f>
        <v>1270780</v>
      </c>
      <c r="J63" s="33"/>
      <c r="L63" s="33"/>
    </row>
    <row r="64" spans="1:12" ht="19.5" customHeight="1">
      <c r="A64" s="13"/>
      <c r="B64" s="70">
        <v>80110</v>
      </c>
      <c r="C64" s="70"/>
      <c r="D64" s="70" t="s">
        <v>110</v>
      </c>
      <c r="E64" s="18">
        <v>47233492</v>
      </c>
      <c r="F64" s="18">
        <f>F67+F65</f>
        <v>63239</v>
      </c>
      <c r="G64" s="18">
        <f>G67+G65</f>
        <v>13239</v>
      </c>
      <c r="H64" s="18">
        <f t="shared" si="2"/>
        <v>47183492</v>
      </c>
      <c r="J64" s="33"/>
      <c r="L64" s="33"/>
    </row>
    <row r="65" spans="1:12" ht="18.75" customHeight="1">
      <c r="A65" s="13"/>
      <c r="B65" s="85"/>
      <c r="C65" s="85"/>
      <c r="D65" s="38" t="s">
        <v>451</v>
      </c>
      <c r="E65" s="100">
        <v>6489977</v>
      </c>
      <c r="F65" s="100"/>
      <c r="G65" s="100">
        <f>G66</f>
        <v>13239</v>
      </c>
      <c r="H65" s="100">
        <f t="shared" si="2"/>
        <v>6503216</v>
      </c>
      <c r="J65" s="33"/>
      <c r="L65" s="33"/>
    </row>
    <row r="66" spans="1:12" ht="18.75" customHeight="1">
      <c r="A66" s="16"/>
      <c r="B66" s="13"/>
      <c r="C66" s="23">
        <v>4270</v>
      </c>
      <c r="D66" s="23" t="s">
        <v>454</v>
      </c>
      <c r="E66" s="15">
        <v>139977</v>
      </c>
      <c r="F66" s="15"/>
      <c r="G66" s="15">
        <v>13239</v>
      </c>
      <c r="H66" s="15">
        <f t="shared" si="2"/>
        <v>153216</v>
      </c>
      <c r="J66" s="33"/>
      <c r="L66" s="33"/>
    </row>
    <row r="67" spans="1:12" ht="18.75" customHeight="1">
      <c r="A67" s="13"/>
      <c r="B67" s="13"/>
      <c r="C67" s="85"/>
      <c r="D67" s="38" t="s">
        <v>324</v>
      </c>
      <c r="E67" s="100">
        <v>2846515</v>
      </c>
      <c r="F67" s="100">
        <f>F69</f>
        <v>63239</v>
      </c>
      <c r="G67" s="100"/>
      <c r="H67" s="100">
        <f t="shared" si="2"/>
        <v>2783276</v>
      </c>
      <c r="J67" s="33"/>
      <c r="L67" s="33"/>
    </row>
    <row r="68" spans="1:12" ht="18.75" customHeight="1">
      <c r="A68" s="16"/>
      <c r="B68" s="13"/>
      <c r="C68" s="16"/>
      <c r="D68" s="565" t="s">
        <v>805</v>
      </c>
      <c r="E68" s="454">
        <v>546515</v>
      </c>
      <c r="F68" s="454">
        <v>63239</v>
      </c>
      <c r="G68" s="454"/>
      <c r="H68" s="454">
        <f>E68-F68+G68</f>
        <v>483276</v>
      </c>
      <c r="J68" s="33"/>
      <c r="L68" s="33"/>
    </row>
    <row r="69" spans="1:12" ht="18.75" customHeight="1">
      <c r="A69" s="13"/>
      <c r="B69" s="29"/>
      <c r="C69" s="23">
        <v>6050</v>
      </c>
      <c r="D69" s="23" t="s">
        <v>303</v>
      </c>
      <c r="E69" s="19">
        <v>2846515</v>
      </c>
      <c r="F69" s="19">
        <f>F68</f>
        <v>63239</v>
      </c>
      <c r="G69" s="19"/>
      <c r="H69" s="19">
        <f>E69-F69+G69</f>
        <v>2783276</v>
      </c>
      <c r="J69" s="33"/>
      <c r="L69" s="33"/>
    </row>
    <row r="70" spans="1:12" ht="19.5" customHeight="1">
      <c r="A70" s="13"/>
      <c r="B70" s="70">
        <v>80120</v>
      </c>
      <c r="C70" s="70"/>
      <c r="D70" s="70" t="s">
        <v>453</v>
      </c>
      <c r="E70" s="18">
        <v>38279555</v>
      </c>
      <c r="F70" s="18">
        <f>F71+F75</f>
        <v>12600</v>
      </c>
      <c r="G70" s="18">
        <f>G71+G75</f>
        <v>12600</v>
      </c>
      <c r="H70" s="18">
        <f t="shared" si="2"/>
        <v>38279555</v>
      </c>
      <c r="J70" s="33"/>
      <c r="L70" s="33"/>
    </row>
    <row r="71" spans="1:12" ht="18.75" customHeight="1">
      <c r="A71" s="13"/>
      <c r="B71" s="85"/>
      <c r="C71" s="85"/>
      <c r="D71" s="38" t="s">
        <v>451</v>
      </c>
      <c r="E71" s="100">
        <v>4641248</v>
      </c>
      <c r="F71" s="100">
        <f>SUM(F72:F74)</f>
        <v>4600</v>
      </c>
      <c r="G71" s="100">
        <f>SUM(G72:G74)</f>
        <v>12600</v>
      </c>
      <c r="H71" s="100">
        <f t="shared" si="2"/>
        <v>4649248</v>
      </c>
      <c r="J71" s="33"/>
      <c r="L71" s="33"/>
    </row>
    <row r="72" spans="1:12" ht="18.75" customHeight="1">
      <c r="A72" s="16"/>
      <c r="B72" s="13"/>
      <c r="C72" s="23">
        <v>4210</v>
      </c>
      <c r="D72" s="23" t="s">
        <v>302</v>
      </c>
      <c r="E72" s="15">
        <v>314191</v>
      </c>
      <c r="F72" s="15">
        <f>7600-3000</f>
        <v>4600</v>
      </c>
      <c r="G72" s="15"/>
      <c r="H72" s="15">
        <f t="shared" si="2"/>
        <v>309591</v>
      </c>
      <c r="J72" s="33"/>
      <c r="L72" s="33"/>
    </row>
    <row r="73" spans="1:12" ht="18.75" customHeight="1">
      <c r="A73" s="13"/>
      <c r="B73" s="13"/>
      <c r="C73" s="23">
        <v>4270</v>
      </c>
      <c r="D73" s="23" t="s">
        <v>454</v>
      </c>
      <c r="E73" s="19">
        <v>125725</v>
      </c>
      <c r="F73" s="19"/>
      <c r="G73" s="19">
        <v>7600</v>
      </c>
      <c r="H73" s="19">
        <f>E73-F73+G73</f>
        <v>133325</v>
      </c>
      <c r="J73" s="33"/>
      <c r="L73" s="33"/>
    </row>
    <row r="74" spans="1:12" ht="18.75" customHeight="1">
      <c r="A74" s="16"/>
      <c r="B74" s="13"/>
      <c r="C74" s="532">
        <v>4300</v>
      </c>
      <c r="D74" s="532" t="s">
        <v>336</v>
      </c>
      <c r="E74" s="15">
        <v>411100</v>
      </c>
      <c r="F74" s="15"/>
      <c r="G74" s="15">
        <v>5000</v>
      </c>
      <c r="H74" s="19">
        <f>E74-F74+G74</f>
        <v>416100</v>
      </c>
      <c r="J74" s="33"/>
      <c r="L74" s="33"/>
    </row>
    <row r="75" spans="1:12" ht="18.75" customHeight="1">
      <c r="A75" s="13"/>
      <c r="B75" s="13"/>
      <c r="C75" s="13"/>
      <c r="D75" s="246" t="s">
        <v>211</v>
      </c>
      <c r="E75" s="100">
        <v>4983250</v>
      </c>
      <c r="F75" s="100">
        <f>F76</f>
        <v>8000</v>
      </c>
      <c r="G75" s="100"/>
      <c r="H75" s="100">
        <f t="shared" si="2"/>
        <v>4975250</v>
      </c>
      <c r="J75" s="33"/>
      <c r="L75" s="33"/>
    </row>
    <row r="76" spans="1:12" ht="18.75" customHeight="1">
      <c r="A76" s="16"/>
      <c r="B76" s="29"/>
      <c r="C76" s="23">
        <v>4110</v>
      </c>
      <c r="D76" s="23" t="s">
        <v>338</v>
      </c>
      <c r="E76" s="15">
        <v>4433130</v>
      </c>
      <c r="F76" s="15">
        <v>8000</v>
      </c>
      <c r="G76" s="15"/>
      <c r="H76" s="15">
        <f t="shared" si="2"/>
        <v>4425130</v>
      </c>
      <c r="J76" s="33"/>
      <c r="L76" s="33"/>
    </row>
    <row r="77" spans="1:12" ht="19.5" customHeight="1">
      <c r="A77" s="13"/>
      <c r="B77" s="70">
        <v>80123</v>
      </c>
      <c r="C77" s="70"/>
      <c r="D77" s="70" t="s">
        <v>456</v>
      </c>
      <c r="E77" s="18">
        <v>3579100</v>
      </c>
      <c r="F77" s="18"/>
      <c r="G77" s="18">
        <f>G78+G80+G83</f>
        <v>208160</v>
      </c>
      <c r="H77" s="18">
        <f t="shared" si="2"/>
        <v>3787260</v>
      </c>
      <c r="J77" s="33"/>
      <c r="L77" s="33"/>
    </row>
    <row r="78" spans="1:12" ht="18.75" customHeight="1">
      <c r="A78" s="13"/>
      <c r="B78" s="85"/>
      <c r="C78" s="85"/>
      <c r="D78" s="38" t="s">
        <v>306</v>
      </c>
      <c r="E78" s="100">
        <v>2272000</v>
      </c>
      <c r="F78" s="100"/>
      <c r="G78" s="100">
        <f>G79</f>
        <v>165630</v>
      </c>
      <c r="H78" s="100">
        <f t="shared" si="2"/>
        <v>2437630</v>
      </c>
      <c r="J78" s="33"/>
      <c r="L78" s="33"/>
    </row>
    <row r="79" spans="1:12" ht="18.75" customHeight="1">
      <c r="A79" s="23"/>
      <c r="B79" s="29"/>
      <c r="C79" s="23">
        <v>4010</v>
      </c>
      <c r="D79" s="23" t="s">
        <v>457</v>
      </c>
      <c r="E79" s="15">
        <v>2143387</v>
      </c>
      <c r="F79" s="15"/>
      <c r="G79" s="15">
        <v>165630</v>
      </c>
      <c r="H79" s="15">
        <f t="shared" si="2"/>
        <v>2309017</v>
      </c>
      <c r="J79" s="33"/>
      <c r="L79" s="33"/>
    </row>
    <row r="80" spans="1:12" ht="18.75" customHeight="1">
      <c r="A80" s="13"/>
      <c r="B80" s="13"/>
      <c r="C80" s="13"/>
      <c r="D80" s="336" t="s">
        <v>451</v>
      </c>
      <c r="E80" s="163">
        <v>458000</v>
      </c>
      <c r="F80" s="163"/>
      <c r="G80" s="163">
        <f>SUM(G81:G82)</f>
        <v>11870</v>
      </c>
      <c r="H80" s="163">
        <f t="shared" si="2"/>
        <v>469870</v>
      </c>
      <c r="J80" s="33"/>
      <c r="L80" s="33"/>
    </row>
    <row r="81" spans="1:12" ht="18.75" customHeight="1">
      <c r="A81" s="16"/>
      <c r="B81" s="13"/>
      <c r="C81" s="23">
        <v>4210</v>
      </c>
      <c r="D81" s="23" t="s">
        <v>302</v>
      </c>
      <c r="E81" s="15">
        <v>71700</v>
      </c>
      <c r="F81" s="15"/>
      <c r="G81" s="15">
        <v>1000</v>
      </c>
      <c r="H81" s="15">
        <f t="shared" si="2"/>
        <v>72700</v>
      </c>
      <c r="J81" s="33"/>
      <c r="L81" s="33"/>
    </row>
    <row r="82" spans="1:12" ht="18.75" customHeight="1">
      <c r="A82" s="13"/>
      <c r="B82" s="13"/>
      <c r="C82" s="23">
        <v>4440</v>
      </c>
      <c r="D82" s="23" t="s">
        <v>305</v>
      </c>
      <c r="E82" s="19">
        <v>109010</v>
      </c>
      <c r="F82" s="19"/>
      <c r="G82" s="19">
        <v>10870</v>
      </c>
      <c r="H82" s="19">
        <f>E82-F82+G82</f>
        <v>119880</v>
      </c>
      <c r="J82" s="33"/>
      <c r="L82" s="33"/>
    </row>
    <row r="83" spans="1:12" ht="18.75" customHeight="1">
      <c r="A83" s="13"/>
      <c r="B83" s="13"/>
      <c r="C83" s="85"/>
      <c r="D83" s="38" t="s">
        <v>211</v>
      </c>
      <c r="E83" s="100">
        <v>544000</v>
      </c>
      <c r="F83" s="100"/>
      <c r="G83" s="100">
        <f>SUM(G84:G85)</f>
        <v>30660</v>
      </c>
      <c r="H83" s="100">
        <f t="shared" si="2"/>
        <v>574660</v>
      </c>
      <c r="J83" s="33"/>
      <c r="L83" s="33"/>
    </row>
    <row r="84" spans="1:12" ht="18.75" customHeight="1">
      <c r="A84" s="16"/>
      <c r="B84" s="13"/>
      <c r="C84" s="23">
        <v>4110</v>
      </c>
      <c r="D84" s="23" t="s">
        <v>338</v>
      </c>
      <c r="E84" s="15">
        <v>489000</v>
      </c>
      <c r="F84" s="15"/>
      <c r="G84" s="15">
        <f>27410-1000</f>
        <v>26410</v>
      </c>
      <c r="H84" s="15">
        <f t="shared" si="2"/>
        <v>515410</v>
      </c>
      <c r="J84" s="33"/>
      <c r="L84" s="33"/>
    </row>
    <row r="85" spans="1:12" ht="18.75" customHeight="1">
      <c r="A85" s="13"/>
      <c r="B85" s="29"/>
      <c r="C85" s="23">
        <v>4120</v>
      </c>
      <c r="D85" s="23" t="s">
        <v>339</v>
      </c>
      <c r="E85" s="19">
        <v>55000</v>
      </c>
      <c r="F85" s="19"/>
      <c r="G85" s="19">
        <v>4250</v>
      </c>
      <c r="H85" s="19">
        <f>E85-F85+G85</f>
        <v>59250</v>
      </c>
      <c r="J85" s="33"/>
      <c r="L85" s="33"/>
    </row>
    <row r="86" spans="1:12" ht="19.5" customHeight="1">
      <c r="A86" s="13"/>
      <c r="B86" s="70">
        <v>80130</v>
      </c>
      <c r="C86" s="70"/>
      <c r="D86" s="70" t="s">
        <v>445</v>
      </c>
      <c r="E86" s="168">
        <v>53711668</v>
      </c>
      <c r="F86" s="168">
        <f>F87+F89+F93+F96</f>
        <v>217160</v>
      </c>
      <c r="G86" s="168">
        <f>G87+G89+G93+G96</f>
        <v>9000</v>
      </c>
      <c r="H86" s="168">
        <f t="shared" si="2"/>
        <v>53503508</v>
      </c>
      <c r="J86" s="33"/>
      <c r="L86" s="33"/>
    </row>
    <row r="87" spans="1:12" ht="19.5" customHeight="1">
      <c r="A87" s="13"/>
      <c r="B87" s="85"/>
      <c r="C87" s="85"/>
      <c r="D87" s="38" t="s">
        <v>306</v>
      </c>
      <c r="E87" s="100">
        <v>31792675</v>
      </c>
      <c r="F87" s="100">
        <f>F88</f>
        <v>165630</v>
      </c>
      <c r="G87" s="100"/>
      <c r="H87" s="100">
        <f t="shared" si="2"/>
        <v>31627045</v>
      </c>
      <c r="J87" s="33"/>
      <c r="L87" s="33"/>
    </row>
    <row r="88" spans="1:12" ht="19.5" customHeight="1">
      <c r="A88" s="16"/>
      <c r="B88" s="13"/>
      <c r="C88" s="23">
        <v>4010</v>
      </c>
      <c r="D88" s="23" t="s">
        <v>457</v>
      </c>
      <c r="E88" s="15">
        <v>29633487</v>
      </c>
      <c r="F88" s="15">
        <v>165630</v>
      </c>
      <c r="G88" s="15"/>
      <c r="H88" s="15">
        <f t="shared" si="2"/>
        <v>29467857</v>
      </c>
      <c r="J88" s="33"/>
      <c r="L88" s="33"/>
    </row>
    <row r="89" spans="1:12" ht="19.5" customHeight="1">
      <c r="A89" s="13"/>
      <c r="B89" s="13"/>
      <c r="C89" s="13"/>
      <c r="D89" s="336" t="s">
        <v>451</v>
      </c>
      <c r="E89" s="163">
        <v>5924530</v>
      </c>
      <c r="F89" s="163">
        <f>SUM(F90:F92)</f>
        <v>10870</v>
      </c>
      <c r="G89" s="163">
        <f>SUM(G90:G92)</f>
        <v>5000</v>
      </c>
      <c r="H89" s="163">
        <f t="shared" si="2"/>
        <v>5918660</v>
      </c>
      <c r="J89" s="33"/>
      <c r="L89" s="33"/>
    </row>
    <row r="90" spans="1:12" ht="19.5" customHeight="1">
      <c r="A90" s="16"/>
      <c r="B90" s="13"/>
      <c r="C90" s="23">
        <v>4210</v>
      </c>
      <c r="D90" s="23" t="s">
        <v>302</v>
      </c>
      <c r="E90" s="15">
        <v>665277</v>
      </c>
      <c r="F90" s="15"/>
      <c r="G90" s="15">
        <v>2000</v>
      </c>
      <c r="H90" s="15">
        <f t="shared" si="2"/>
        <v>667277</v>
      </c>
      <c r="J90" s="33"/>
      <c r="L90" s="33"/>
    </row>
    <row r="91" spans="1:12" ht="18.75" customHeight="1">
      <c r="A91" s="13"/>
      <c r="B91" s="13"/>
      <c r="C91" s="23">
        <v>4300</v>
      </c>
      <c r="D91" s="23" t="s">
        <v>336</v>
      </c>
      <c r="E91" s="19">
        <v>692850</v>
      </c>
      <c r="F91" s="19"/>
      <c r="G91" s="19">
        <v>3000</v>
      </c>
      <c r="H91" s="19">
        <f>E91-F91+G91</f>
        <v>695850</v>
      </c>
      <c r="J91" s="33"/>
      <c r="L91" s="33"/>
    </row>
    <row r="92" spans="1:12" ht="18.75" customHeight="1">
      <c r="A92" s="13"/>
      <c r="B92" s="13"/>
      <c r="C92" s="23">
        <v>4440</v>
      </c>
      <c r="D92" s="23" t="s">
        <v>305</v>
      </c>
      <c r="E92" s="557">
        <v>1835920</v>
      </c>
      <c r="F92" s="557">
        <v>10870</v>
      </c>
      <c r="G92" s="557"/>
      <c r="H92" s="19">
        <f>E92-F92+G92</f>
        <v>1825050</v>
      </c>
      <c r="J92" s="33"/>
      <c r="L92" s="33"/>
    </row>
    <row r="93" spans="1:12" ht="19.5" customHeight="1">
      <c r="A93" s="13"/>
      <c r="B93" s="13"/>
      <c r="C93" s="85"/>
      <c r="D93" s="38" t="s">
        <v>211</v>
      </c>
      <c r="E93" s="100">
        <v>6489950</v>
      </c>
      <c r="F93" s="100">
        <f>SUM(F94:F95)</f>
        <v>40660</v>
      </c>
      <c r="G93" s="100"/>
      <c r="H93" s="100">
        <f t="shared" si="2"/>
        <v>6449290</v>
      </c>
      <c r="J93" s="33"/>
      <c r="L93" s="33"/>
    </row>
    <row r="94" spans="1:12" ht="19.5" customHeight="1">
      <c r="A94" s="16"/>
      <c r="B94" s="13"/>
      <c r="C94" s="23">
        <v>4110</v>
      </c>
      <c r="D94" s="23" t="s">
        <v>338</v>
      </c>
      <c r="E94" s="15">
        <v>5754180</v>
      </c>
      <c r="F94" s="15">
        <v>36410</v>
      </c>
      <c r="G94" s="15"/>
      <c r="H94" s="15">
        <f t="shared" si="2"/>
        <v>5717770</v>
      </c>
      <c r="J94" s="33"/>
      <c r="L94" s="33"/>
    </row>
    <row r="95" spans="1:12" ht="18.75" customHeight="1">
      <c r="A95" s="13"/>
      <c r="B95" s="13"/>
      <c r="C95" s="23">
        <v>4120</v>
      </c>
      <c r="D95" s="23" t="s">
        <v>339</v>
      </c>
      <c r="E95" s="19">
        <v>735770</v>
      </c>
      <c r="F95" s="19">
        <v>4250</v>
      </c>
      <c r="G95" s="19"/>
      <c r="H95" s="19">
        <f>E95-F95+G95</f>
        <v>731520</v>
      </c>
      <c r="J95" s="33"/>
      <c r="L95" s="33"/>
    </row>
    <row r="96" spans="1:12" ht="19.5" customHeight="1">
      <c r="A96" s="13"/>
      <c r="B96" s="13"/>
      <c r="C96" s="13"/>
      <c r="D96" s="248" t="s">
        <v>324</v>
      </c>
      <c r="E96" s="100">
        <v>6204513</v>
      </c>
      <c r="F96" s="100"/>
      <c r="G96" s="100">
        <f>G98</f>
        <v>4000</v>
      </c>
      <c r="H96" s="100">
        <f t="shared" si="2"/>
        <v>6208513</v>
      </c>
      <c r="J96" s="33"/>
      <c r="L96" s="33"/>
    </row>
    <row r="97" spans="1:12" ht="19.5" customHeight="1">
      <c r="A97" s="13"/>
      <c r="B97" s="13"/>
      <c r="C97" s="13"/>
      <c r="D97" s="565" t="s">
        <v>213</v>
      </c>
      <c r="E97" s="454">
        <v>4513</v>
      </c>
      <c r="F97" s="454"/>
      <c r="G97" s="454">
        <v>4000</v>
      </c>
      <c r="H97" s="454">
        <f>E97-F97+G97</f>
        <v>8513</v>
      </c>
      <c r="J97" s="33"/>
      <c r="L97" s="33"/>
    </row>
    <row r="98" spans="1:12" ht="19.5" customHeight="1">
      <c r="A98" s="16"/>
      <c r="B98" s="29"/>
      <c r="C98" s="23">
        <v>6060</v>
      </c>
      <c r="D98" s="23" t="s">
        <v>212</v>
      </c>
      <c r="E98" s="15">
        <v>4513</v>
      </c>
      <c r="F98" s="15"/>
      <c r="G98" s="15">
        <f>G97</f>
        <v>4000</v>
      </c>
      <c r="H98" s="15">
        <f>E98-F98+G98</f>
        <v>8513</v>
      </c>
      <c r="J98" s="33"/>
      <c r="L98" s="33"/>
    </row>
    <row r="99" spans="1:12" ht="19.5" customHeight="1">
      <c r="A99" s="13"/>
      <c r="B99" s="70">
        <v>80145</v>
      </c>
      <c r="C99" s="70"/>
      <c r="D99" s="70" t="s">
        <v>206</v>
      </c>
      <c r="E99" s="18">
        <v>60468</v>
      </c>
      <c r="F99" s="18">
        <f>F100</f>
        <v>415</v>
      </c>
      <c r="G99" s="18">
        <f>G100</f>
        <v>415</v>
      </c>
      <c r="H99" s="18">
        <f t="shared" si="2"/>
        <v>60468</v>
      </c>
      <c r="J99" s="33"/>
      <c r="L99" s="33"/>
    </row>
    <row r="100" spans="1:12" ht="19.5" customHeight="1">
      <c r="A100" s="13"/>
      <c r="B100" s="85"/>
      <c r="C100" s="85"/>
      <c r="D100" s="38" t="s">
        <v>207</v>
      </c>
      <c r="E100" s="100">
        <v>60468</v>
      </c>
      <c r="F100" s="100">
        <f>SUM(F101:F102)</f>
        <v>415</v>
      </c>
      <c r="G100" s="100">
        <f>SUM(G101:G102)</f>
        <v>415</v>
      </c>
      <c r="H100" s="100">
        <f t="shared" si="2"/>
        <v>60468</v>
      </c>
      <c r="J100" s="33"/>
      <c r="L100" s="33"/>
    </row>
    <row r="101" spans="1:12" ht="19.5" customHeight="1">
      <c r="A101" s="16"/>
      <c r="B101" s="13"/>
      <c r="C101" s="23">
        <v>4300</v>
      </c>
      <c r="D101" s="23" t="s">
        <v>336</v>
      </c>
      <c r="E101" s="15">
        <v>60468</v>
      </c>
      <c r="F101" s="15">
        <v>415</v>
      </c>
      <c r="G101" s="15"/>
      <c r="H101" s="15">
        <f t="shared" si="2"/>
        <v>60053</v>
      </c>
      <c r="J101" s="33"/>
      <c r="L101" s="33"/>
    </row>
    <row r="102" spans="1:12" ht="18.75" customHeight="1">
      <c r="A102" s="13"/>
      <c r="B102" s="29"/>
      <c r="C102" s="23">
        <v>4410</v>
      </c>
      <c r="D102" s="12" t="s">
        <v>380</v>
      </c>
      <c r="E102" s="19"/>
      <c r="F102" s="19"/>
      <c r="G102" s="19">
        <v>415</v>
      </c>
      <c r="H102" s="19">
        <f>E102-F102+G102</f>
        <v>415</v>
      </c>
      <c r="J102" s="33"/>
      <c r="L102" s="33"/>
    </row>
    <row r="103" spans="1:12" ht="19.5" customHeight="1">
      <c r="A103" s="13"/>
      <c r="B103" s="70">
        <v>80195</v>
      </c>
      <c r="C103" s="10"/>
      <c r="D103" s="11" t="s">
        <v>235</v>
      </c>
      <c r="E103" s="18">
        <v>1299000</v>
      </c>
      <c r="F103" s="18"/>
      <c r="G103" s="18">
        <f>G104+G106</f>
        <v>357625</v>
      </c>
      <c r="H103" s="18">
        <f t="shared" si="2"/>
        <v>1656625</v>
      </c>
      <c r="J103" s="33"/>
      <c r="L103" s="33"/>
    </row>
    <row r="104" spans="1:12" ht="27.75" customHeight="1">
      <c r="A104" s="13"/>
      <c r="B104" s="13"/>
      <c r="C104" s="13"/>
      <c r="D104" s="336" t="s">
        <v>407</v>
      </c>
      <c r="E104" s="100">
        <v>978582</v>
      </c>
      <c r="F104" s="100"/>
      <c r="G104" s="100">
        <f>G105</f>
        <v>356745</v>
      </c>
      <c r="H104" s="100">
        <f t="shared" si="2"/>
        <v>1335327</v>
      </c>
      <c r="J104" s="33"/>
      <c r="L104" s="33"/>
    </row>
    <row r="105" spans="1:12" ht="19.5" customHeight="1">
      <c r="A105" s="23"/>
      <c r="B105" s="23"/>
      <c r="C105" s="23">
        <v>4440</v>
      </c>
      <c r="D105" s="98" t="s">
        <v>305</v>
      </c>
      <c r="E105" s="15">
        <v>978582</v>
      </c>
      <c r="F105" s="15"/>
      <c r="G105" s="15">
        <f>357625-880</f>
        <v>356745</v>
      </c>
      <c r="H105" s="15">
        <f t="shared" si="2"/>
        <v>1335327</v>
      </c>
      <c r="J105" s="33"/>
      <c r="L105" s="33"/>
    </row>
    <row r="106" spans="1:12" ht="26.25" customHeight="1">
      <c r="A106" s="16"/>
      <c r="B106" s="16"/>
      <c r="C106" s="13"/>
      <c r="D106" s="336" t="s">
        <v>440</v>
      </c>
      <c r="E106" s="163">
        <v>2418</v>
      </c>
      <c r="F106" s="163"/>
      <c r="G106" s="163">
        <f>G107</f>
        <v>880</v>
      </c>
      <c r="H106" s="163">
        <f t="shared" si="2"/>
        <v>3298</v>
      </c>
      <c r="J106" s="33"/>
      <c r="L106" s="33"/>
    </row>
    <row r="107" spans="1:12" ht="40.5" customHeight="1">
      <c r="A107" s="23"/>
      <c r="B107" s="23"/>
      <c r="C107" s="23">
        <v>2590</v>
      </c>
      <c r="D107" s="12" t="s">
        <v>442</v>
      </c>
      <c r="E107" s="15">
        <v>2418</v>
      </c>
      <c r="F107" s="15"/>
      <c r="G107" s="15">
        <v>880</v>
      </c>
      <c r="H107" s="15">
        <f t="shared" si="2"/>
        <v>3298</v>
      </c>
      <c r="J107" s="33"/>
      <c r="L107" s="33"/>
    </row>
    <row r="108" spans="1:12" ht="19.5" customHeight="1">
      <c r="A108" s="8">
        <v>851</v>
      </c>
      <c r="B108" s="8"/>
      <c r="C108" s="8"/>
      <c r="D108" s="8" t="s">
        <v>337</v>
      </c>
      <c r="E108" s="9">
        <v>8861000</v>
      </c>
      <c r="F108" s="9">
        <f>F109</f>
        <v>36823</v>
      </c>
      <c r="G108" s="9">
        <f>G109</f>
        <v>36823</v>
      </c>
      <c r="H108" s="9">
        <f t="shared" si="2"/>
        <v>8861000</v>
      </c>
      <c r="J108" s="33"/>
      <c r="L108" s="33"/>
    </row>
    <row r="109" spans="1:12" ht="19.5" customHeight="1">
      <c r="A109" s="13"/>
      <c r="B109" s="70">
        <v>85154</v>
      </c>
      <c r="C109" s="70"/>
      <c r="D109" s="70" t="s">
        <v>359</v>
      </c>
      <c r="E109" s="168">
        <v>4500000</v>
      </c>
      <c r="F109" s="168">
        <f>F110</f>
        <v>36823</v>
      </c>
      <c r="G109" s="168">
        <f>G110</f>
        <v>36823</v>
      </c>
      <c r="H109" s="244">
        <f t="shared" si="2"/>
        <v>4500000</v>
      </c>
      <c r="J109" s="33"/>
      <c r="L109" s="33"/>
    </row>
    <row r="110" spans="1:12" ht="27" customHeight="1">
      <c r="A110" s="13"/>
      <c r="B110" s="85"/>
      <c r="C110" s="85"/>
      <c r="D110" s="338" t="s">
        <v>383</v>
      </c>
      <c r="E110" s="97">
        <v>4500000</v>
      </c>
      <c r="F110" s="97">
        <f>F111+F116+F120</f>
        <v>36823</v>
      </c>
      <c r="G110" s="97">
        <f>G111+G116+G120</f>
        <v>36823</v>
      </c>
      <c r="H110" s="97">
        <f>E110-F110+G110</f>
        <v>4500000</v>
      </c>
      <c r="J110" s="33"/>
      <c r="L110" s="33"/>
    </row>
    <row r="111" spans="1:12" ht="25.5" customHeight="1">
      <c r="A111" s="13"/>
      <c r="B111" s="13"/>
      <c r="C111" s="13"/>
      <c r="D111" s="336" t="s">
        <v>382</v>
      </c>
      <c r="E111" s="20">
        <v>1582000</v>
      </c>
      <c r="F111" s="20">
        <f>SUM(F112:F115)</f>
        <v>1823</v>
      </c>
      <c r="G111" s="20">
        <f>SUM(G112:G115)</f>
        <v>1823</v>
      </c>
      <c r="H111" s="20">
        <f>E111-F111+G111</f>
        <v>1582000</v>
      </c>
      <c r="J111" s="33"/>
      <c r="L111" s="33"/>
    </row>
    <row r="112" spans="1:12" ht="18.75" customHeight="1">
      <c r="A112" s="13"/>
      <c r="B112" s="13"/>
      <c r="C112" s="23">
        <v>4110</v>
      </c>
      <c r="D112" s="12" t="s">
        <v>338</v>
      </c>
      <c r="E112" s="19">
        <v>32617</v>
      </c>
      <c r="F112" s="19"/>
      <c r="G112" s="19">
        <v>1165</v>
      </c>
      <c r="H112" s="19">
        <f>E112-F112+G112</f>
        <v>33782</v>
      </c>
      <c r="J112" s="33"/>
      <c r="L112" s="33"/>
    </row>
    <row r="113" spans="1:12" ht="18.75" customHeight="1">
      <c r="A113" s="13"/>
      <c r="B113" s="13"/>
      <c r="C113" s="21">
        <v>4120</v>
      </c>
      <c r="D113" s="12" t="s">
        <v>339</v>
      </c>
      <c r="E113" s="19">
        <v>4524</v>
      </c>
      <c r="F113" s="19"/>
      <c r="G113" s="19">
        <v>158</v>
      </c>
      <c r="H113" s="15">
        <f>E113+G113-F113</f>
        <v>4682</v>
      </c>
      <c r="J113" s="33"/>
      <c r="L113" s="33"/>
    </row>
    <row r="114" spans="1:12" ht="18.75" customHeight="1">
      <c r="A114" s="13"/>
      <c r="B114" s="13"/>
      <c r="C114" s="21">
        <v>4210</v>
      </c>
      <c r="D114" s="12" t="s">
        <v>302</v>
      </c>
      <c r="E114" s="19">
        <v>104821</v>
      </c>
      <c r="F114" s="19"/>
      <c r="G114" s="19">
        <v>500</v>
      </c>
      <c r="H114" s="15">
        <f>E114+G114-F114</f>
        <v>105321</v>
      </c>
      <c r="J114" s="33"/>
      <c r="L114" s="33"/>
    </row>
    <row r="115" spans="1:12" ht="18.75" customHeight="1">
      <c r="A115" s="13"/>
      <c r="B115" s="13"/>
      <c r="C115" s="21">
        <v>4300</v>
      </c>
      <c r="D115" s="12" t="s">
        <v>336</v>
      </c>
      <c r="E115" s="19">
        <v>928748</v>
      </c>
      <c r="F115" s="19">
        <f>9000-7177</f>
        <v>1823</v>
      </c>
      <c r="G115" s="19"/>
      <c r="H115" s="15">
        <f>E115+G115-F115</f>
        <v>926925</v>
      </c>
      <c r="J115" s="33"/>
      <c r="L115" s="33"/>
    </row>
    <row r="116" spans="1:12" ht="27" customHeight="1">
      <c r="A116" s="13"/>
      <c r="B116" s="13"/>
      <c r="C116" s="13"/>
      <c r="D116" s="336" t="s">
        <v>393</v>
      </c>
      <c r="E116" s="39">
        <v>696000</v>
      </c>
      <c r="F116" s="39">
        <f>F117+F119</f>
        <v>30000</v>
      </c>
      <c r="G116" s="39">
        <f>G117+G119</f>
        <v>30000</v>
      </c>
      <c r="H116" s="20">
        <f aca="true" t="shared" si="3" ref="H116:H121">E116-F116+G116</f>
        <v>696000</v>
      </c>
      <c r="J116" s="33"/>
      <c r="L116" s="33"/>
    </row>
    <row r="117" spans="1:12" ht="19.5" customHeight="1">
      <c r="A117" s="13"/>
      <c r="B117" s="13"/>
      <c r="C117" s="23">
        <v>4300</v>
      </c>
      <c r="D117" s="12" t="s">
        <v>336</v>
      </c>
      <c r="E117" s="557">
        <v>108500</v>
      </c>
      <c r="F117" s="557">
        <v>30000</v>
      </c>
      <c r="G117" s="557"/>
      <c r="H117" s="19">
        <f t="shared" si="3"/>
        <v>78500</v>
      </c>
      <c r="J117" s="33"/>
      <c r="L117" s="33"/>
    </row>
    <row r="118" spans="1:12" ht="19.5" customHeight="1">
      <c r="A118" s="13"/>
      <c r="B118" s="13"/>
      <c r="C118" s="533"/>
      <c r="D118" s="560" t="s">
        <v>395</v>
      </c>
      <c r="E118" s="561">
        <v>500000</v>
      </c>
      <c r="F118" s="561"/>
      <c r="G118" s="561">
        <v>30000</v>
      </c>
      <c r="H118" s="561">
        <f t="shared" si="3"/>
        <v>530000</v>
      </c>
      <c r="J118" s="33"/>
      <c r="L118" s="33"/>
    </row>
    <row r="119" spans="1:12" ht="18.75" customHeight="1">
      <c r="A119" s="13"/>
      <c r="B119" s="13"/>
      <c r="C119" s="23">
        <v>6050</v>
      </c>
      <c r="D119" s="12" t="s">
        <v>396</v>
      </c>
      <c r="E119" s="562">
        <v>500000</v>
      </c>
      <c r="F119" s="562"/>
      <c r="G119" s="562">
        <f>G118</f>
        <v>30000</v>
      </c>
      <c r="H119" s="562">
        <f t="shared" si="3"/>
        <v>530000</v>
      </c>
      <c r="J119" s="33"/>
      <c r="L119" s="33"/>
    </row>
    <row r="120" spans="1:12" ht="19.5" customHeight="1">
      <c r="A120" s="13"/>
      <c r="B120" s="13"/>
      <c r="C120" s="13"/>
      <c r="D120" s="336" t="s">
        <v>386</v>
      </c>
      <c r="E120" s="20">
        <v>179000</v>
      </c>
      <c r="F120" s="20">
        <f>SUM(F121:F122)</f>
        <v>5000</v>
      </c>
      <c r="G120" s="20">
        <f>SUM(G121:G122)</f>
        <v>5000</v>
      </c>
      <c r="H120" s="20">
        <f t="shared" si="3"/>
        <v>179000</v>
      </c>
      <c r="J120" s="33"/>
      <c r="L120" s="33"/>
    </row>
    <row r="121" spans="1:12" ht="18.75" customHeight="1">
      <c r="A121" s="13"/>
      <c r="B121" s="13"/>
      <c r="C121" s="23">
        <v>4410</v>
      </c>
      <c r="D121" s="12" t="s">
        <v>380</v>
      </c>
      <c r="E121" s="19">
        <v>11500</v>
      </c>
      <c r="F121" s="19"/>
      <c r="G121" s="19">
        <v>5000</v>
      </c>
      <c r="H121" s="19">
        <f t="shared" si="3"/>
        <v>16500</v>
      </c>
      <c r="J121" s="33"/>
      <c r="L121" s="33"/>
    </row>
    <row r="122" spans="1:12" ht="18.75" customHeight="1">
      <c r="A122" s="13"/>
      <c r="B122" s="13"/>
      <c r="C122" s="21">
        <v>4420</v>
      </c>
      <c r="D122" s="12" t="s">
        <v>381</v>
      </c>
      <c r="E122" s="19">
        <v>13000</v>
      </c>
      <c r="F122" s="19">
        <v>5000</v>
      </c>
      <c r="G122" s="19"/>
      <c r="H122" s="15">
        <f>E122+G122-F122</f>
        <v>8000</v>
      </c>
      <c r="J122" s="33"/>
      <c r="L122" s="33"/>
    </row>
    <row r="123" spans="1:12" ht="19.5" customHeight="1">
      <c r="A123" s="95">
        <v>853</v>
      </c>
      <c r="B123" s="95"/>
      <c r="C123" s="55"/>
      <c r="D123" s="56" t="s">
        <v>216</v>
      </c>
      <c r="E123" s="57">
        <v>76001379</v>
      </c>
      <c r="F123" s="57">
        <f>F124+F128</f>
        <v>25000</v>
      </c>
      <c r="G123" s="57">
        <f>G124+G128</f>
        <v>275000</v>
      </c>
      <c r="H123" s="57">
        <f t="shared" si="2"/>
        <v>76251379</v>
      </c>
      <c r="J123" s="33"/>
      <c r="L123" s="33"/>
    </row>
    <row r="124" spans="1:12" s="72" customFormat="1" ht="19.5" customHeight="1">
      <c r="A124" s="34"/>
      <c r="B124" s="10">
        <v>85302</v>
      </c>
      <c r="C124" s="70"/>
      <c r="D124" s="70" t="s">
        <v>204</v>
      </c>
      <c r="E124" s="244">
        <v>14054828</v>
      </c>
      <c r="F124" s="244">
        <f>F125</f>
        <v>25000</v>
      </c>
      <c r="G124" s="244">
        <f>G125</f>
        <v>25000</v>
      </c>
      <c r="H124" s="244">
        <f aca="true" t="shared" si="4" ref="H124:H130">E124+G124-F124</f>
        <v>14054828</v>
      </c>
      <c r="J124" s="320"/>
      <c r="L124" s="320"/>
    </row>
    <row r="125" spans="1:12" s="72" customFormat="1" ht="19.5" customHeight="1">
      <c r="A125" s="13"/>
      <c r="B125" s="13"/>
      <c r="C125" s="13"/>
      <c r="D125" s="246" t="s">
        <v>304</v>
      </c>
      <c r="E125" s="163">
        <v>3957400</v>
      </c>
      <c r="F125" s="163">
        <f>SUM(F126:F127)</f>
        <v>25000</v>
      </c>
      <c r="G125" s="163">
        <f>SUM(G126:G127)</f>
        <v>25000</v>
      </c>
      <c r="H125" s="163">
        <f t="shared" si="4"/>
        <v>3957400</v>
      </c>
      <c r="J125" s="320"/>
      <c r="L125" s="320"/>
    </row>
    <row r="126" spans="1:12" s="72" customFormat="1" ht="19.5" customHeight="1">
      <c r="A126" s="13"/>
      <c r="B126" s="13"/>
      <c r="C126" s="23">
        <v>4210</v>
      </c>
      <c r="D126" s="23" t="s">
        <v>302</v>
      </c>
      <c r="E126" s="15">
        <v>705568</v>
      </c>
      <c r="F126" s="15">
        <v>25000</v>
      </c>
      <c r="G126" s="15"/>
      <c r="H126" s="15">
        <f t="shared" si="4"/>
        <v>680568</v>
      </c>
      <c r="J126" s="320"/>
      <c r="L126" s="320"/>
    </row>
    <row r="127" spans="1:12" s="72" customFormat="1" ht="19.5" customHeight="1">
      <c r="A127" s="13"/>
      <c r="B127" s="29"/>
      <c r="C127" s="23">
        <v>4270</v>
      </c>
      <c r="D127" s="23" t="s">
        <v>363</v>
      </c>
      <c r="E127" s="15">
        <v>82000</v>
      </c>
      <c r="F127" s="15"/>
      <c r="G127" s="15">
        <v>25000</v>
      </c>
      <c r="H127" s="15">
        <f t="shared" si="4"/>
        <v>107000</v>
      </c>
      <c r="J127" s="320"/>
      <c r="L127" s="320"/>
    </row>
    <row r="128" spans="1:12" s="72" customFormat="1" ht="19.5" customHeight="1">
      <c r="A128" s="34"/>
      <c r="B128" s="70">
        <v>85304</v>
      </c>
      <c r="C128" s="70"/>
      <c r="D128" s="70" t="s">
        <v>401</v>
      </c>
      <c r="E128" s="244">
        <v>4254110</v>
      </c>
      <c r="F128" s="244"/>
      <c r="G128" s="244">
        <f>G129</f>
        <v>250000</v>
      </c>
      <c r="H128" s="244">
        <f t="shared" si="4"/>
        <v>4504110</v>
      </c>
      <c r="J128" s="320"/>
      <c r="L128" s="320"/>
    </row>
    <row r="129" spans="1:12" s="72" customFormat="1" ht="19.5" customHeight="1">
      <c r="A129" s="13"/>
      <c r="B129" s="13"/>
      <c r="C129" s="13"/>
      <c r="D129" s="248" t="s">
        <v>403</v>
      </c>
      <c r="E129" s="100">
        <v>4254110</v>
      </c>
      <c r="F129" s="100"/>
      <c r="G129" s="100">
        <f>G130</f>
        <v>250000</v>
      </c>
      <c r="H129" s="100">
        <f t="shared" si="4"/>
        <v>4504110</v>
      </c>
      <c r="J129" s="320"/>
      <c r="L129" s="320"/>
    </row>
    <row r="130" spans="1:12" s="72" customFormat="1" ht="19.5" customHeight="1">
      <c r="A130" s="29"/>
      <c r="B130" s="29"/>
      <c r="C130" s="23">
        <v>3110</v>
      </c>
      <c r="D130" s="23" t="s">
        <v>239</v>
      </c>
      <c r="E130" s="15">
        <v>4240610</v>
      </c>
      <c r="F130" s="15"/>
      <c r="G130" s="15">
        <v>250000</v>
      </c>
      <c r="H130" s="15">
        <f t="shared" si="4"/>
        <v>4490610</v>
      </c>
      <c r="J130" s="320"/>
      <c r="L130" s="320"/>
    </row>
    <row r="131" spans="1:12" s="31" customFormat="1" ht="19.5" customHeight="1">
      <c r="A131" s="95">
        <v>854</v>
      </c>
      <c r="B131" s="95"/>
      <c r="C131" s="95"/>
      <c r="D131" s="95" t="s">
        <v>280</v>
      </c>
      <c r="E131" s="340">
        <v>81182959</v>
      </c>
      <c r="F131" s="340">
        <f>F132+F141+F145</f>
        <v>23600</v>
      </c>
      <c r="G131" s="340">
        <f>G132+G141+G145</f>
        <v>114183</v>
      </c>
      <c r="H131" s="340">
        <f aca="true" t="shared" si="5" ref="H131:H154">E131+G131-F131</f>
        <v>81273542</v>
      </c>
      <c r="I131" s="315">
        <f>G131-F131</f>
        <v>90583</v>
      </c>
      <c r="J131" s="315"/>
      <c r="L131" s="315"/>
    </row>
    <row r="132" spans="1:9" ht="19.5" customHeight="1">
      <c r="A132" s="13"/>
      <c r="B132" s="70">
        <v>85404</v>
      </c>
      <c r="C132" s="70"/>
      <c r="D132" s="70" t="s">
        <v>428</v>
      </c>
      <c r="E132" s="244">
        <v>43722000</v>
      </c>
      <c r="F132" s="244">
        <f>F133+F139</f>
        <v>18600</v>
      </c>
      <c r="G132" s="244">
        <f>G133+G139</f>
        <v>18600</v>
      </c>
      <c r="H132" s="244">
        <f t="shared" si="5"/>
        <v>43722000</v>
      </c>
      <c r="I132" s="534"/>
    </row>
    <row r="133" spans="1:9" ht="19.5" customHeight="1">
      <c r="A133" s="13"/>
      <c r="B133" s="85"/>
      <c r="C133" s="13"/>
      <c r="D133" s="246" t="s">
        <v>304</v>
      </c>
      <c r="E133" s="100">
        <v>6159040</v>
      </c>
      <c r="F133" s="100">
        <f>SUM(F134:F138)</f>
        <v>18600</v>
      </c>
      <c r="G133" s="100">
        <f>SUM(G134:G138)</f>
        <v>14300</v>
      </c>
      <c r="H133" s="100">
        <f t="shared" si="5"/>
        <v>6154740</v>
      </c>
      <c r="I133" s="535"/>
    </row>
    <row r="134" spans="1:9" ht="19.5" customHeight="1">
      <c r="A134" s="13"/>
      <c r="B134" s="13"/>
      <c r="C134" s="16">
        <v>3020</v>
      </c>
      <c r="D134" s="16" t="s">
        <v>377</v>
      </c>
      <c r="E134" s="15">
        <v>66287</v>
      </c>
      <c r="F134" s="15">
        <v>200</v>
      </c>
      <c r="G134" s="15"/>
      <c r="H134" s="247">
        <f>E134+G134-F134</f>
        <v>66087</v>
      </c>
      <c r="I134" s="535"/>
    </row>
    <row r="135" spans="1:9" ht="19.5" customHeight="1">
      <c r="A135" s="13"/>
      <c r="B135" s="13"/>
      <c r="C135" s="533">
        <v>4210</v>
      </c>
      <c r="D135" s="533" t="s">
        <v>302</v>
      </c>
      <c r="E135" s="15">
        <v>314560</v>
      </c>
      <c r="F135" s="15">
        <v>2400</v>
      </c>
      <c r="G135" s="15"/>
      <c r="H135" s="247">
        <f>E135+G135-F135</f>
        <v>312160</v>
      </c>
      <c r="I135" s="535"/>
    </row>
    <row r="136" spans="1:9" ht="19.5" customHeight="1">
      <c r="A136" s="13"/>
      <c r="B136" s="13"/>
      <c r="C136" s="533">
        <v>4260</v>
      </c>
      <c r="D136" s="533" t="s">
        <v>392</v>
      </c>
      <c r="E136" s="15">
        <v>2525716</v>
      </c>
      <c r="F136" s="15">
        <f>13500-2500</f>
        <v>11000</v>
      </c>
      <c r="G136" s="15"/>
      <c r="H136" s="247">
        <f>E136+G136-F136</f>
        <v>2514716</v>
      </c>
      <c r="I136" s="535"/>
    </row>
    <row r="137" spans="1:9" ht="19.5" customHeight="1">
      <c r="A137" s="13"/>
      <c r="B137" s="13"/>
      <c r="C137" s="533">
        <v>4270</v>
      </c>
      <c r="D137" s="533" t="s">
        <v>358</v>
      </c>
      <c r="E137" s="15">
        <v>203153</v>
      </c>
      <c r="F137" s="15"/>
      <c r="G137" s="15">
        <f>17500-3200</f>
        <v>14300</v>
      </c>
      <c r="H137" s="247">
        <f>E137+G137-F137</f>
        <v>217453</v>
      </c>
      <c r="I137" s="535"/>
    </row>
    <row r="138" spans="1:9" ht="19.5" customHeight="1">
      <c r="A138" s="13"/>
      <c r="B138" s="13"/>
      <c r="C138" s="532">
        <v>4300</v>
      </c>
      <c r="D138" s="532" t="s">
        <v>336</v>
      </c>
      <c r="E138" s="15">
        <v>1364980</v>
      </c>
      <c r="F138" s="15">
        <f>11000-6000</f>
        <v>5000</v>
      </c>
      <c r="G138" s="15"/>
      <c r="H138" s="247">
        <f>E138+G138-F138</f>
        <v>1359980</v>
      </c>
      <c r="I138" s="535"/>
    </row>
    <row r="139" spans="1:9" ht="19.5" customHeight="1">
      <c r="A139" s="13"/>
      <c r="B139" s="13"/>
      <c r="C139" s="13"/>
      <c r="D139" s="246" t="s">
        <v>345</v>
      </c>
      <c r="E139" s="163"/>
      <c r="F139" s="163"/>
      <c r="G139" s="163">
        <f>G140</f>
        <v>4300</v>
      </c>
      <c r="H139" s="163">
        <f t="shared" si="5"/>
        <v>4300</v>
      </c>
      <c r="I139" s="535"/>
    </row>
    <row r="140" spans="1:9" ht="19.5" customHeight="1">
      <c r="A140" s="13"/>
      <c r="B140" s="29"/>
      <c r="C140" s="23">
        <v>6060</v>
      </c>
      <c r="D140" s="23" t="s">
        <v>212</v>
      </c>
      <c r="E140" s="15"/>
      <c r="F140" s="15"/>
      <c r="G140" s="15">
        <v>4300</v>
      </c>
      <c r="H140" s="247">
        <f>E140+G140-F140</f>
        <v>4300</v>
      </c>
      <c r="I140" s="535"/>
    </row>
    <row r="141" spans="1:9" ht="19.5" customHeight="1">
      <c r="A141" s="13"/>
      <c r="B141" s="70">
        <v>85417</v>
      </c>
      <c r="C141" s="70"/>
      <c r="D141" s="70" t="s">
        <v>459</v>
      </c>
      <c r="E141" s="244">
        <v>234000</v>
      </c>
      <c r="F141" s="244">
        <f>F142</f>
        <v>2500</v>
      </c>
      <c r="G141" s="244">
        <f>G142</f>
        <v>2500</v>
      </c>
      <c r="H141" s="244">
        <f t="shared" si="5"/>
        <v>234000</v>
      </c>
      <c r="I141" s="534"/>
    </row>
    <row r="142" spans="1:9" ht="19.5" customHeight="1">
      <c r="A142" s="13"/>
      <c r="B142" s="85"/>
      <c r="C142" s="13"/>
      <c r="D142" s="246" t="s">
        <v>304</v>
      </c>
      <c r="E142" s="100">
        <v>56000</v>
      </c>
      <c r="F142" s="100">
        <f>SUM(F143:F144)</f>
        <v>2500</v>
      </c>
      <c r="G142" s="100">
        <f>SUM(G143:G144)</f>
        <v>2500</v>
      </c>
      <c r="H142" s="100">
        <f t="shared" si="5"/>
        <v>56000</v>
      </c>
      <c r="I142" s="535"/>
    </row>
    <row r="143" spans="1:9" ht="19.5" customHeight="1">
      <c r="A143" s="13"/>
      <c r="B143" s="13"/>
      <c r="C143" s="16">
        <v>4260</v>
      </c>
      <c r="D143" s="16" t="s">
        <v>392</v>
      </c>
      <c r="E143" s="15">
        <v>25900</v>
      </c>
      <c r="F143" s="15">
        <f>8000-5500</f>
        <v>2500</v>
      </c>
      <c r="G143" s="15"/>
      <c r="H143" s="247">
        <f>E143+G143-F143</f>
        <v>23400</v>
      </c>
      <c r="I143" s="535"/>
    </row>
    <row r="144" spans="1:9" ht="19.5" customHeight="1">
      <c r="A144" s="13"/>
      <c r="B144" s="29"/>
      <c r="C144" s="532">
        <v>4480</v>
      </c>
      <c r="D144" s="532" t="s">
        <v>460</v>
      </c>
      <c r="E144" s="15">
        <v>5100</v>
      </c>
      <c r="F144" s="15"/>
      <c r="G144" s="15">
        <v>2500</v>
      </c>
      <c r="H144" s="247">
        <f>E144+G144-F144</f>
        <v>7600</v>
      </c>
      <c r="I144" s="535"/>
    </row>
    <row r="145" spans="1:9" ht="19.5" customHeight="1">
      <c r="A145" s="13"/>
      <c r="B145" s="70">
        <v>85495</v>
      </c>
      <c r="C145" s="70"/>
      <c r="D145" s="70" t="s">
        <v>235</v>
      </c>
      <c r="E145" s="244">
        <v>8298200</v>
      </c>
      <c r="F145" s="244">
        <f>F146+F153</f>
        <v>2500</v>
      </c>
      <c r="G145" s="244">
        <f>G146+G153</f>
        <v>93083</v>
      </c>
      <c r="H145" s="244">
        <f t="shared" si="5"/>
        <v>8388783</v>
      </c>
      <c r="I145" s="534"/>
    </row>
    <row r="146" spans="1:9" ht="19.5" customHeight="1">
      <c r="A146" s="13"/>
      <c r="B146" s="85"/>
      <c r="C146" s="468"/>
      <c r="D146" s="567" t="s">
        <v>472</v>
      </c>
      <c r="E146" s="349">
        <v>8119200</v>
      </c>
      <c r="F146" s="349">
        <f>F147+F151</f>
        <v>2500</v>
      </c>
      <c r="G146" s="349">
        <f>G147+G151</f>
        <v>2500</v>
      </c>
      <c r="H146" s="349">
        <f t="shared" si="5"/>
        <v>8119200</v>
      </c>
      <c r="I146" s="535"/>
    </row>
    <row r="147" spans="1:9" ht="19.5" customHeight="1">
      <c r="A147" s="13"/>
      <c r="B147" s="13"/>
      <c r="C147" s="13"/>
      <c r="D147" s="246" t="s">
        <v>304</v>
      </c>
      <c r="E147" s="163">
        <v>1855216</v>
      </c>
      <c r="F147" s="163"/>
      <c r="G147" s="163">
        <f>SUM(G148:G150)</f>
        <v>2500</v>
      </c>
      <c r="H147" s="568">
        <f t="shared" si="5"/>
        <v>1857716</v>
      </c>
      <c r="I147" s="535"/>
    </row>
    <row r="148" spans="1:9" ht="19.5" customHeight="1">
      <c r="A148" s="13"/>
      <c r="B148" s="13"/>
      <c r="C148" s="23">
        <v>4210</v>
      </c>
      <c r="D148" s="23" t="s">
        <v>302</v>
      </c>
      <c r="E148" s="15">
        <v>332831</v>
      </c>
      <c r="F148" s="15"/>
      <c r="G148" s="15">
        <v>800</v>
      </c>
      <c r="H148" s="247">
        <f>E148+G148-F148</f>
        <v>333631</v>
      </c>
      <c r="I148" s="535"/>
    </row>
    <row r="149" spans="1:9" ht="19.5" customHeight="1">
      <c r="A149" s="13"/>
      <c r="B149" s="13"/>
      <c r="C149" s="532">
        <v>4260</v>
      </c>
      <c r="D149" s="532" t="s">
        <v>392</v>
      </c>
      <c r="E149" s="15">
        <v>555358</v>
      </c>
      <c r="F149" s="15"/>
      <c r="G149" s="15">
        <v>1300</v>
      </c>
      <c r="H149" s="247">
        <f>E149+G149-F149</f>
        <v>556658</v>
      </c>
      <c r="I149" s="566"/>
    </row>
    <row r="150" spans="1:9" ht="19.5" customHeight="1">
      <c r="A150" s="13"/>
      <c r="B150" s="13"/>
      <c r="C150" s="532">
        <v>4300</v>
      </c>
      <c r="D150" s="532" t="s">
        <v>336</v>
      </c>
      <c r="E150" s="321">
        <v>191747</v>
      </c>
      <c r="F150" s="321"/>
      <c r="G150" s="321">
        <v>400</v>
      </c>
      <c r="H150" s="247">
        <f>E150+G150-F150</f>
        <v>192147</v>
      </c>
      <c r="I150" s="566"/>
    </row>
    <row r="151" spans="1:9" ht="19.5" customHeight="1">
      <c r="A151" s="13"/>
      <c r="B151" s="13"/>
      <c r="C151" s="13"/>
      <c r="D151" s="246" t="s">
        <v>211</v>
      </c>
      <c r="E151" s="100">
        <v>1040115</v>
      </c>
      <c r="F151" s="100">
        <f>F152</f>
        <v>2500</v>
      </c>
      <c r="G151" s="100"/>
      <c r="H151" s="568">
        <f t="shared" si="5"/>
        <v>1037615</v>
      </c>
      <c r="I151" s="535"/>
    </row>
    <row r="152" spans="1:9" ht="19.5" customHeight="1">
      <c r="A152" s="13"/>
      <c r="B152" s="13"/>
      <c r="C152" s="23">
        <v>4120</v>
      </c>
      <c r="D152" s="23" t="s">
        <v>339</v>
      </c>
      <c r="E152" s="15">
        <v>135513</v>
      </c>
      <c r="F152" s="15">
        <v>2500</v>
      </c>
      <c r="G152" s="15"/>
      <c r="H152" s="247">
        <f>E152+G152-F152</f>
        <v>133013</v>
      </c>
      <c r="I152" s="535"/>
    </row>
    <row r="153" spans="1:12" s="37" customFormat="1" ht="29.25" customHeight="1">
      <c r="A153" s="13"/>
      <c r="B153" s="13"/>
      <c r="C153" s="13"/>
      <c r="D153" s="338" t="s">
        <v>407</v>
      </c>
      <c r="E153" s="349">
        <v>177000</v>
      </c>
      <c r="F153" s="349"/>
      <c r="G153" s="349">
        <f>G154</f>
        <v>90583</v>
      </c>
      <c r="H153" s="349">
        <f t="shared" si="5"/>
        <v>267583</v>
      </c>
      <c r="J153" s="348"/>
      <c r="L153" s="348"/>
    </row>
    <row r="154" spans="1:12" s="37" customFormat="1" ht="19.5" customHeight="1">
      <c r="A154" s="13"/>
      <c r="B154" s="13"/>
      <c r="C154" s="16">
        <v>4440</v>
      </c>
      <c r="D154" s="16" t="s">
        <v>305</v>
      </c>
      <c r="E154" s="321">
        <v>177000</v>
      </c>
      <c r="F154" s="321"/>
      <c r="G154" s="321">
        <f>36242+54341</f>
        <v>90583</v>
      </c>
      <c r="H154" s="321">
        <f t="shared" si="5"/>
        <v>267583</v>
      </c>
      <c r="J154" s="348"/>
      <c r="L154" s="348"/>
    </row>
    <row r="155" spans="1:12" s="37" customFormat="1" ht="33.75" customHeight="1">
      <c r="A155" s="558"/>
      <c r="B155" s="558"/>
      <c r="C155" s="553"/>
      <c r="D155" s="553"/>
      <c r="E155" s="708"/>
      <c r="F155" s="708"/>
      <c r="G155" s="708"/>
      <c r="H155" s="708"/>
      <c r="J155" s="348"/>
      <c r="L155" s="348"/>
    </row>
    <row r="156" spans="1:12" s="31" customFormat="1" ht="19.5" customHeight="1">
      <c r="A156" s="8">
        <v>900</v>
      </c>
      <c r="B156" s="8"/>
      <c r="C156" s="8"/>
      <c r="D156" s="8" t="s">
        <v>351</v>
      </c>
      <c r="E156" s="9">
        <v>32728160</v>
      </c>
      <c r="F156" s="9">
        <f>F157</f>
        <v>80000</v>
      </c>
      <c r="G156" s="9">
        <f>G157</f>
        <v>80000</v>
      </c>
      <c r="H156" s="9">
        <f>E156+G156-F156</f>
        <v>32728160</v>
      </c>
      <c r="J156" s="315"/>
      <c r="L156" s="315"/>
    </row>
    <row r="157" spans="1:12" s="37" customFormat="1" ht="19.5" customHeight="1">
      <c r="A157" s="34"/>
      <c r="B157" s="70">
        <v>90001</v>
      </c>
      <c r="C157" s="70"/>
      <c r="D157" s="70" t="s">
        <v>200</v>
      </c>
      <c r="E157" s="244">
        <v>4953800</v>
      </c>
      <c r="F157" s="244">
        <f>F158</f>
        <v>80000</v>
      </c>
      <c r="G157" s="244">
        <f>G158</f>
        <v>80000</v>
      </c>
      <c r="H157" s="244">
        <f>E157+G157-F157</f>
        <v>4953800</v>
      </c>
      <c r="J157" s="348"/>
      <c r="L157" s="348"/>
    </row>
    <row r="158" spans="1:12" s="37" customFormat="1" ht="19.5" customHeight="1">
      <c r="A158" s="13"/>
      <c r="B158" s="13"/>
      <c r="C158" s="13"/>
      <c r="D158" s="248" t="s">
        <v>387</v>
      </c>
      <c r="E158" s="100">
        <v>2170000</v>
      </c>
      <c r="F158" s="100">
        <f>SUM(F159:F160)</f>
        <v>80000</v>
      </c>
      <c r="G158" s="100">
        <f>SUM(G159:G160)</f>
        <v>80000</v>
      </c>
      <c r="H158" s="100">
        <f>E158+G158-F158</f>
        <v>2170000</v>
      </c>
      <c r="J158" s="348"/>
      <c r="L158" s="348"/>
    </row>
    <row r="159" spans="1:12" s="37" customFormat="1" ht="19.5" customHeight="1">
      <c r="A159" s="13"/>
      <c r="B159" s="13"/>
      <c r="C159" s="23">
        <v>4270</v>
      </c>
      <c r="D159" s="12" t="s">
        <v>389</v>
      </c>
      <c r="E159" s="247">
        <v>150000</v>
      </c>
      <c r="F159" s="247"/>
      <c r="G159" s="247">
        <v>80000</v>
      </c>
      <c r="H159" s="247">
        <f>E159+G159-F159</f>
        <v>230000</v>
      </c>
      <c r="J159" s="348"/>
      <c r="L159" s="348"/>
    </row>
    <row r="160" spans="1:12" s="37" customFormat="1" ht="19.5" customHeight="1">
      <c r="A160" s="13"/>
      <c r="B160" s="29"/>
      <c r="C160" s="23">
        <v>4300</v>
      </c>
      <c r="D160" s="12" t="s">
        <v>336</v>
      </c>
      <c r="E160" s="292">
        <v>2019000</v>
      </c>
      <c r="F160" s="292">
        <v>80000</v>
      </c>
      <c r="G160" s="292"/>
      <c r="H160" s="292">
        <f>E160+G160-F160</f>
        <v>1939000</v>
      </c>
      <c r="J160" s="348"/>
      <c r="L160" s="348"/>
    </row>
    <row r="161" spans="1:8" ht="19.5" customHeight="1">
      <c r="A161" s="95">
        <v>921</v>
      </c>
      <c r="B161" s="95"/>
      <c r="C161" s="55"/>
      <c r="D161" s="56" t="s">
        <v>251</v>
      </c>
      <c r="E161" s="57">
        <v>13708600</v>
      </c>
      <c r="F161" s="57">
        <f>F162</f>
        <v>15000</v>
      </c>
      <c r="G161" s="57">
        <f>G162</f>
        <v>155000</v>
      </c>
      <c r="H161" s="57">
        <f aca="true" t="shared" si="6" ref="H161:H171">E161+G161-F161</f>
        <v>13848600</v>
      </c>
    </row>
    <row r="162" spans="1:8" s="72" customFormat="1" ht="19.5" customHeight="1">
      <c r="A162" s="13"/>
      <c r="B162" s="10">
        <v>92105</v>
      </c>
      <c r="C162" s="22"/>
      <c r="D162" s="11" t="s">
        <v>252</v>
      </c>
      <c r="E162" s="18">
        <v>2091600</v>
      </c>
      <c r="F162" s="18">
        <f>F163+F166+F168+F170</f>
        <v>15000</v>
      </c>
      <c r="G162" s="18">
        <f>G163+G166+G168+G170</f>
        <v>155000</v>
      </c>
      <c r="H162" s="18">
        <f t="shared" si="6"/>
        <v>2231600</v>
      </c>
    </row>
    <row r="163" spans="1:8" s="72" customFormat="1" ht="19.5" customHeight="1">
      <c r="A163" s="13"/>
      <c r="B163" s="34"/>
      <c r="C163" s="73"/>
      <c r="D163" s="86" t="s">
        <v>322</v>
      </c>
      <c r="E163" s="96">
        <v>753600</v>
      </c>
      <c r="F163" s="96"/>
      <c r="G163" s="96">
        <f>G164</f>
        <v>14000</v>
      </c>
      <c r="H163" s="96">
        <f>E163+G163-F163</f>
        <v>767600</v>
      </c>
    </row>
    <row r="164" spans="1:8" s="72" customFormat="1" ht="19.5" customHeight="1">
      <c r="A164" s="13"/>
      <c r="B164" s="34"/>
      <c r="C164" s="73"/>
      <c r="D164" s="339" t="s">
        <v>373</v>
      </c>
      <c r="E164" s="20">
        <v>53600</v>
      </c>
      <c r="F164" s="20"/>
      <c r="G164" s="20">
        <f>G165</f>
        <v>14000</v>
      </c>
      <c r="H164" s="20">
        <f>E164+G164-F164</f>
        <v>67600</v>
      </c>
    </row>
    <row r="165" spans="1:8" s="72" customFormat="1" ht="19.5" customHeight="1">
      <c r="A165" s="13"/>
      <c r="B165" s="34"/>
      <c r="C165" s="21">
        <v>4300</v>
      </c>
      <c r="D165" s="12" t="s">
        <v>336</v>
      </c>
      <c r="E165" s="19">
        <v>2800</v>
      </c>
      <c r="F165" s="19"/>
      <c r="G165" s="19">
        <f>15000-1000</f>
        <v>14000</v>
      </c>
      <c r="H165" s="19">
        <f>E165+G165-F165</f>
        <v>16800</v>
      </c>
    </row>
    <row r="166" spans="1:9" s="456" customFormat="1" ht="19.5" customHeight="1">
      <c r="A166" s="13"/>
      <c r="B166" s="34"/>
      <c r="C166" s="73"/>
      <c r="D166" s="700" t="s">
        <v>374</v>
      </c>
      <c r="E166" s="702">
        <v>28000</v>
      </c>
      <c r="F166" s="702"/>
      <c r="G166" s="702">
        <f>G167</f>
        <v>1000</v>
      </c>
      <c r="H166" s="702">
        <f t="shared" si="6"/>
        <v>29000</v>
      </c>
      <c r="I166" s="455"/>
    </row>
    <row r="167" spans="1:9" s="173" customFormat="1" ht="19.5" customHeight="1">
      <c r="A167" s="16"/>
      <c r="B167" s="76"/>
      <c r="C167" s="21">
        <v>3240</v>
      </c>
      <c r="D167" s="12" t="s">
        <v>375</v>
      </c>
      <c r="E167" s="19">
        <v>28000</v>
      </c>
      <c r="F167" s="19"/>
      <c r="G167" s="19">
        <v>1000</v>
      </c>
      <c r="H167" s="19">
        <f>E167+G167-F167</f>
        <v>29000</v>
      </c>
      <c r="I167" s="172"/>
    </row>
    <row r="168" spans="1:9" s="456" customFormat="1" ht="19.5" customHeight="1">
      <c r="A168" s="13"/>
      <c r="B168" s="34"/>
      <c r="C168" s="73"/>
      <c r="D168" s="338" t="s">
        <v>376</v>
      </c>
      <c r="E168" s="97">
        <v>15000</v>
      </c>
      <c r="F168" s="97">
        <f>F169</f>
        <v>15000</v>
      </c>
      <c r="G168" s="97"/>
      <c r="H168" s="97">
        <f t="shared" si="6"/>
        <v>0</v>
      </c>
      <c r="I168" s="455"/>
    </row>
    <row r="169" spans="1:9" s="173" customFormat="1" ht="19.5" customHeight="1">
      <c r="A169" s="16"/>
      <c r="B169" s="76"/>
      <c r="C169" s="21">
        <v>3020</v>
      </c>
      <c r="D169" s="12" t="s">
        <v>377</v>
      </c>
      <c r="E169" s="19">
        <v>15000</v>
      </c>
      <c r="F169" s="19">
        <v>15000</v>
      </c>
      <c r="G169" s="19"/>
      <c r="H169" s="19">
        <f t="shared" si="6"/>
        <v>0</v>
      </c>
      <c r="I169" s="172"/>
    </row>
    <row r="170" spans="1:9" s="456" customFormat="1" ht="19.5" customHeight="1">
      <c r="A170" s="13"/>
      <c r="B170" s="34"/>
      <c r="C170" s="73"/>
      <c r="D170" s="338" t="s">
        <v>199</v>
      </c>
      <c r="E170" s="97">
        <v>1280000</v>
      </c>
      <c r="F170" s="97"/>
      <c r="G170" s="97">
        <f>G171</f>
        <v>140000</v>
      </c>
      <c r="H170" s="97">
        <f t="shared" si="6"/>
        <v>1420000</v>
      </c>
      <c r="I170" s="455"/>
    </row>
    <row r="171" spans="1:9" s="173" customFormat="1" ht="19.5" customHeight="1">
      <c r="A171" s="16"/>
      <c r="B171" s="76"/>
      <c r="C171" s="21">
        <v>6050</v>
      </c>
      <c r="D171" s="12" t="s">
        <v>396</v>
      </c>
      <c r="E171" s="19">
        <v>1280000</v>
      </c>
      <c r="F171" s="19"/>
      <c r="G171" s="19">
        <v>140000</v>
      </c>
      <c r="H171" s="19">
        <f t="shared" si="6"/>
        <v>1420000</v>
      </c>
      <c r="I171" s="172"/>
    </row>
    <row r="172" spans="1:8" ht="29.25" customHeight="1" thickBot="1">
      <c r="A172" s="13"/>
      <c r="B172" s="13"/>
      <c r="C172" s="63"/>
      <c r="D172" s="74" t="s">
        <v>350</v>
      </c>
      <c r="E172" s="75">
        <v>2974358</v>
      </c>
      <c r="F172" s="75"/>
      <c r="G172" s="75"/>
      <c r="H172" s="75">
        <f>E172+G172</f>
        <v>2974358</v>
      </c>
    </row>
    <row r="173" spans="1:8" ht="21" customHeight="1" thickBot="1" thickTop="1">
      <c r="A173" s="281"/>
      <c r="B173" s="89"/>
      <c r="C173" s="89"/>
      <c r="D173" s="285" t="s">
        <v>240</v>
      </c>
      <c r="E173" s="286">
        <v>54516269</v>
      </c>
      <c r="F173" s="286">
        <f>F174+F198</f>
        <v>737913</v>
      </c>
      <c r="G173" s="286">
        <f>G174+G198</f>
        <v>569903</v>
      </c>
      <c r="H173" s="286">
        <f aca="true" t="shared" si="7" ref="H173:H194">E173-F173+G173</f>
        <v>54348259</v>
      </c>
    </row>
    <row r="174" spans="1:9" s="28" customFormat="1" ht="19.5" customHeight="1" thickBot="1">
      <c r="A174" s="29"/>
      <c r="B174" s="29"/>
      <c r="C174" s="29"/>
      <c r="D174" s="283" t="s">
        <v>291</v>
      </c>
      <c r="E174" s="284">
        <v>34221495</v>
      </c>
      <c r="F174" s="284">
        <f>F175+F183+F193</f>
        <v>737913</v>
      </c>
      <c r="G174" s="284">
        <f>G175+G183+G193</f>
        <v>557903</v>
      </c>
      <c r="H174" s="284">
        <f t="shared" si="7"/>
        <v>34041485</v>
      </c>
      <c r="I174" s="282"/>
    </row>
    <row r="175" spans="1:9" s="28" customFormat="1" ht="25.5" customHeight="1" thickTop="1">
      <c r="A175" s="55">
        <v>751</v>
      </c>
      <c r="B175" s="8"/>
      <c r="C175" s="8"/>
      <c r="D175" s="56" t="s">
        <v>259</v>
      </c>
      <c r="E175" s="57">
        <v>662980</v>
      </c>
      <c r="F175" s="57">
        <f>F176</f>
        <v>4913</v>
      </c>
      <c r="G175" s="57">
        <f>G176</f>
        <v>4913</v>
      </c>
      <c r="H175" s="57">
        <f t="shared" si="7"/>
        <v>662980</v>
      </c>
      <c r="I175" s="310"/>
    </row>
    <row r="176" spans="1:9" s="28" customFormat="1" ht="19.5" customHeight="1">
      <c r="A176" s="85"/>
      <c r="B176" s="35">
        <v>75110</v>
      </c>
      <c r="C176" s="175"/>
      <c r="D176" s="217" t="s">
        <v>253</v>
      </c>
      <c r="E176" s="527">
        <v>635150</v>
      </c>
      <c r="F176" s="527">
        <f>F177</f>
        <v>4913</v>
      </c>
      <c r="G176" s="527">
        <f>G177</f>
        <v>4913</v>
      </c>
      <c r="H176" s="527">
        <f t="shared" si="7"/>
        <v>635150</v>
      </c>
      <c r="I176" s="310"/>
    </row>
    <row r="177" spans="1:9" s="28" customFormat="1" ht="27.75" customHeight="1">
      <c r="A177" s="13"/>
      <c r="B177" s="85"/>
      <c r="C177" s="85"/>
      <c r="D177" s="38" t="s">
        <v>342</v>
      </c>
      <c r="E177" s="277">
        <v>635150</v>
      </c>
      <c r="F177" s="277">
        <f>SUM(F178:F182)</f>
        <v>4913</v>
      </c>
      <c r="G177" s="277">
        <f>SUM(G178:G182)</f>
        <v>4913</v>
      </c>
      <c r="H177" s="277">
        <f t="shared" si="7"/>
        <v>635150</v>
      </c>
      <c r="I177" s="310"/>
    </row>
    <row r="178" spans="1:9" s="28" customFormat="1" ht="19.5" customHeight="1">
      <c r="A178" s="13"/>
      <c r="B178" s="13"/>
      <c r="C178" s="23">
        <v>4110</v>
      </c>
      <c r="D178" s="102" t="s">
        <v>338</v>
      </c>
      <c r="E178" s="528">
        <v>14000</v>
      </c>
      <c r="F178" s="528"/>
      <c r="G178" s="528">
        <v>2188</v>
      </c>
      <c r="H178" s="311">
        <f t="shared" si="7"/>
        <v>16188</v>
      </c>
      <c r="I178" s="310"/>
    </row>
    <row r="179" spans="1:9" s="28" customFormat="1" ht="19.5" customHeight="1">
      <c r="A179" s="13"/>
      <c r="B179" s="13"/>
      <c r="C179" s="23">
        <v>4120</v>
      </c>
      <c r="D179" s="102" t="s">
        <v>339</v>
      </c>
      <c r="E179" s="292">
        <v>2000</v>
      </c>
      <c r="F179" s="292"/>
      <c r="G179" s="292">
        <v>302</v>
      </c>
      <c r="H179" s="311">
        <f t="shared" si="7"/>
        <v>2302</v>
      </c>
      <c r="I179" s="310"/>
    </row>
    <row r="180" spans="1:9" s="28" customFormat="1" ht="19.5" customHeight="1">
      <c r="A180" s="29"/>
      <c r="B180" s="29"/>
      <c r="C180" s="23">
        <v>4210</v>
      </c>
      <c r="D180" s="12" t="s">
        <v>302</v>
      </c>
      <c r="E180" s="292">
        <v>25000</v>
      </c>
      <c r="F180" s="292"/>
      <c r="G180" s="292">
        <v>2423</v>
      </c>
      <c r="H180" s="311">
        <f t="shared" si="7"/>
        <v>27423</v>
      </c>
      <c r="I180" s="310"/>
    </row>
    <row r="181" spans="1:9" s="28" customFormat="1" ht="19.5" customHeight="1">
      <c r="A181" s="13"/>
      <c r="B181" s="13"/>
      <c r="C181" s="23">
        <v>4300</v>
      </c>
      <c r="D181" s="102" t="s">
        <v>336</v>
      </c>
      <c r="E181" s="15">
        <v>169415</v>
      </c>
      <c r="F181" s="15">
        <v>4884</v>
      </c>
      <c r="G181" s="731"/>
      <c r="H181" s="311">
        <f t="shared" si="7"/>
        <v>164531</v>
      </c>
      <c r="I181" s="310"/>
    </row>
    <row r="182" spans="1:9" s="28" customFormat="1" ht="19.5" customHeight="1">
      <c r="A182" s="29"/>
      <c r="B182" s="29"/>
      <c r="C182" s="23">
        <v>4410</v>
      </c>
      <c r="D182" s="102" t="s">
        <v>380</v>
      </c>
      <c r="E182" s="292">
        <v>1550</v>
      </c>
      <c r="F182" s="292">
        <v>29</v>
      </c>
      <c r="G182" s="529"/>
      <c r="H182" s="311">
        <f t="shared" si="7"/>
        <v>1521</v>
      </c>
      <c r="I182" s="310"/>
    </row>
    <row r="183" spans="1:9" s="28" customFormat="1" ht="19.5" customHeight="1">
      <c r="A183" s="8">
        <v>853</v>
      </c>
      <c r="B183" s="8"/>
      <c r="C183" s="8"/>
      <c r="D183" s="8" t="s">
        <v>216</v>
      </c>
      <c r="E183" s="57">
        <v>28948880</v>
      </c>
      <c r="F183" s="57">
        <f>F184+F187+F190</f>
        <v>473000</v>
      </c>
      <c r="G183" s="57">
        <f>G184+G187+G190</f>
        <v>292990</v>
      </c>
      <c r="H183" s="57">
        <f t="shared" si="7"/>
        <v>28768870</v>
      </c>
      <c r="I183" s="310"/>
    </row>
    <row r="184" spans="1:9" s="28" customFormat="1" ht="26.25" customHeight="1">
      <c r="A184" s="13"/>
      <c r="B184" s="70">
        <v>85313</v>
      </c>
      <c r="C184" s="175"/>
      <c r="D184" s="217" t="s">
        <v>408</v>
      </c>
      <c r="E184" s="527">
        <v>1473000</v>
      </c>
      <c r="F184" s="527">
        <f>F185</f>
        <v>473000</v>
      </c>
      <c r="G184" s="527"/>
      <c r="H184" s="527">
        <f t="shared" si="7"/>
        <v>1000000</v>
      </c>
      <c r="I184" s="310"/>
    </row>
    <row r="185" spans="1:9" s="28" customFormat="1" ht="29.25" customHeight="1">
      <c r="A185" s="13"/>
      <c r="B185" s="13"/>
      <c r="C185" s="13"/>
      <c r="D185" s="38" t="s">
        <v>413</v>
      </c>
      <c r="E185" s="277">
        <v>1473000</v>
      </c>
      <c r="F185" s="277">
        <f>F186</f>
        <v>473000</v>
      </c>
      <c r="G185" s="277"/>
      <c r="H185" s="277">
        <f t="shared" si="7"/>
        <v>1000000</v>
      </c>
      <c r="I185" s="310"/>
    </row>
    <row r="186" spans="1:9" s="28" customFormat="1" ht="19.5" customHeight="1">
      <c r="A186" s="13"/>
      <c r="B186" s="29"/>
      <c r="C186" s="23">
        <v>4130</v>
      </c>
      <c r="D186" s="12" t="s">
        <v>414</v>
      </c>
      <c r="E186" s="311">
        <v>1473000</v>
      </c>
      <c r="F186" s="311">
        <v>473000</v>
      </c>
      <c r="G186" s="311"/>
      <c r="H186" s="311">
        <f t="shared" si="7"/>
        <v>1000000</v>
      </c>
      <c r="I186" s="310"/>
    </row>
    <row r="187" spans="1:9" s="28" customFormat="1" ht="26.25" customHeight="1">
      <c r="A187" s="13"/>
      <c r="B187" s="70">
        <v>85314</v>
      </c>
      <c r="C187" s="175"/>
      <c r="D187" s="217" t="s">
        <v>411</v>
      </c>
      <c r="E187" s="527">
        <v>20316000</v>
      </c>
      <c r="F187" s="527"/>
      <c r="G187" s="527">
        <f>G188</f>
        <v>292000</v>
      </c>
      <c r="H187" s="527">
        <f t="shared" si="7"/>
        <v>20608000</v>
      </c>
      <c r="I187" s="310"/>
    </row>
    <row r="188" spans="1:9" s="28" customFormat="1" ht="19.5" customHeight="1">
      <c r="A188" s="13"/>
      <c r="B188" s="13"/>
      <c r="C188" s="13"/>
      <c r="D188" s="248" t="s">
        <v>403</v>
      </c>
      <c r="E188" s="277">
        <v>20316000</v>
      </c>
      <c r="F188" s="277"/>
      <c r="G188" s="277">
        <f>G189</f>
        <v>292000</v>
      </c>
      <c r="H188" s="277">
        <f t="shared" si="7"/>
        <v>20608000</v>
      </c>
      <c r="I188" s="310"/>
    </row>
    <row r="189" spans="1:9" s="28" customFormat="1" ht="19.5" customHeight="1">
      <c r="A189" s="13"/>
      <c r="B189" s="29"/>
      <c r="C189" s="23">
        <v>3110</v>
      </c>
      <c r="D189" s="23" t="s">
        <v>239</v>
      </c>
      <c r="E189" s="311">
        <v>19216000</v>
      </c>
      <c r="F189" s="311"/>
      <c r="G189" s="311">
        <v>292000</v>
      </c>
      <c r="H189" s="311">
        <f t="shared" si="7"/>
        <v>19508000</v>
      </c>
      <c r="I189" s="310"/>
    </row>
    <row r="190" spans="1:9" s="28" customFormat="1" ht="19.5" customHeight="1">
      <c r="A190" s="13"/>
      <c r="B190" s="70">
        <v>85395</v>
      </c>
      <c r="C190" s="70"/>
      <c r="D190" s="217" t="s">
        <v>235</v>
      </c>
      <c r="E190" s="527">
        <v>29880</v>
      </c>
      <c r="F190" s="527"/>
      <c r="G190" s="527">
        <f>G191</f>
        <v>990</v>
      </c>
      <c r="H190" s="527">
        <f t="shared" si="7"/>
        <v>30870</v>
      </c>
      <c r="I190" s="310"/>
    </row>
    <row r="191" spans="1:9" s="28" customFormat="1" ht="19.5" customHeight="1">
      <c r="A191" s="13"/>
      <c r="B191" s="13"/>
      <c r="C191" s="13"/>
      <c r="D191" s="38" t="s">
        <v>323</v>
      </c>
      <c r="E191" s="277">
        <v>29880</v>
      </c>
      <c r="F191" s="277"/>
      <c r="G191" s="277">
        <f>G192</f>
        <v>990</v>
      </c>
      <c r="H191" s="277">
        <f t="shared" si="7"/>
        <v>30870</v>
      </c>
      <c r="I191" s="310"/>
    </row>
    <row r="192" spans="1:9" s="28" customFormat="1" ht="19.5" customHeight="1">
      <c r="A192" s="13"/>
      <c r="B192" s="13"/>
      <c r="C192" s="23">
        <v>3110</v>
      </c>
      <c r="D192" s="12" t="s">
        <v>239</v>
      </c>
      <c r="E192" s="311">
        <v>29880</v>
      </c>
      <c r="F192" s="311"/>
      <c r="G192" s="311">
        <v>990</v>
      </c>
      <c r="H192" s="311">
        <f t="shared" si="7"/>
        <v>30870</v>
      </c>
      <c r="I192" s="310"/>
    </row>
    <row r="193" spans="1:8" ht="19.5" customHeight="1">
      <c r="A193" s="443" t="s">
        <v>390</v>
      </c>
      <c r="B193" s="95"/>
      <c r="C193" s="8"/>
      <c r="D193" s="8" t="s">
        <v>351</v>
      </c>
      <c r="E193" s="57">
        <v>3094000</v>
      </c>
      <c r="F193" s="57">
        <f>F194</f>
        <v>260000</v>
      </c>
      <c r="G193" s="57">
        <f>G194</f>
        <v>260000</v>
      </c>
      <c r="H193" s="57">
        <f t="shared" si="7"/>
        <v>3094000</v>
      </c>
    </row>
    <row r="194" spans="1:8" s="72" customFormat="1" ht="19.5" customHeight="1">
      <c r="A194" s="13"/>
      <c r="B194" s="10">
        <v>90015</v>
      </c>
      <c r="C194" s="10"/>
      <c r="D194" s="11" t="s">
        <v>352</v>
      </c>
      <c r="E194" s="145">
        <v>3094000</v>
      </c>
      <c r="F194" s="145">
        <f>F195</f>
        <v>260000</v>
      </c>
      <c r="G194" s="145">
        <f>G195</f>
        <v>260000</v>
      </c>
      <c r="H194" s="145">
        <f t="shared" si="7"/>
        <v>3094000</v>
      </c>
    </row>
    <row r="195" spans="1:256" s="389" customFormat="1" ht="27" customHeight="1">
      <c r="A195" s="13"/>
      <c r="B195" s="13"/>
      <c r="C195" s="89"/>
      <c r="D195" s="457" t="s">
        <v>391</v>
      </c>
      <c r="E195" s="337">
        <v>2955000</v>
      </c>
      <c r="F195" s="337">
        <f>SUM(F196:F197)</f>
        <v>260000</v>
      </c>
      <c r="G195" s="337">
        <f>SUM(G196:G197)</f>
        <v>260000</v>
      </c>
      <c r="H195" s="337">
        <f>E195+G195-F195</f>
        <v>2955000</v>
      </c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</row>
    <row r="196" spans="1:8" s="28" customFormat="1" ht="19.5" customHeight="1">
      <c r="A196" s="13"/>
      <c r="B196" s="13"/>
      <c r="C196" s="58">
        <v>4260</v>
      </c>
      <c r="D196" s="241" t="s">
        <v>392</v>
      </c>
      <c r="E196" s="19">
        <v>1975000</v>
      </c>
      <c r="F196" s="19"/>
      <c r="G196" s="19">
        <v>260000</v>
      </c>
      <c r="H196" s="19">
        <f>E196-F196+G196</f>
        <v>2235000</v>
      </c>
    </row>
    <row r="197" spans="1:9" s="28" customFormat="1" ht="19.5" customHeight="1">
      <c r="A197" s="13"/>
      <c r="B197" s="13"/>
      <c r="C197" s="58">
        <v>4300</v>
      </c>
      <c r="D197" s="241" t="s">
        <v>336</v>
      </c>
      <c r="E197" s="19">
        <v>980000</v>
      </c>
      <c r="F197" s="19">
        <v>260000</v>
      </c>
      <c r="G197" s="19"/>
      <c r="H197" s="19">
        <f>E197+G197-F197</f>
        <v>720000</v>
      </c>
      <c r="I197" s="94"/>
    </row>
    <row r="198" spans="1:8" s="28" customFormat="1" ht="27.75" customHeight="1" thickBot="1">
      <c r="A198" s="60"/>
      <c r="B198" s="58"/>
      <c r="C198" s="58"/>
      <c r="D198" s="74" t="s">
        <v>292</v>
      </c>
      <c r="E198" s="75">
        <v>20294774</v>
      </c>
      <c r="F198" s="75"/>
      <c r="G198" s="75">
        <f>G199</f>
        <v>12000</v>
      </c>
      <c r="H198" s="75">
        <f>E198-F198+G198</f>
        <v>20306774</v>
      </c>
    </row>
    <row r="199" spans="1:8" ht="21" customHeight="1" thickTop="1">
      <c r="A199" s="382">
        <v>853</v>
      </c>
      <c r="B199" s="8"/>
      <c r="C199" s="55"/>
      <c r="D199" s="56" t="s">
        <v>216</v>
      </c>
      <c r="E199" s="57">
        <v>4171240</v>
      </c>
      <c r="F199" s="57"/>
      <c r="G199" s="57">
        <f>G200</f>
        <v>12000</v>
      </c>
      <c r="H199" s="57">
        <f>E199+G199-F199</f>
        <v>4183240</v>
      </c>
    </row>
    <row r="200" spans="1:8" ht="19.5" customHeight="1">
      <c r="A200" s="85"/>
      <c r="B200" s="10">
        <v>85321</v>
      </c>
      <c r="C200" s="10"/>
      <c r="D200" s="10" t="s">
        <v>397</v>
      </c>
      <c r="E200" s="18">
        <v>369200</v>
      </c>
      <c r="F200" s="18"/>
      <c r="G200" s="18">
        <f>G201</f>
        <v>12000</v>
      </c>
      <c r="H200" s="18">
        <f>E200+G200-F200</f>
        <v>381200</v>
      </c>
    </row>
    <row r="201" spans="1:8" ht="26.25" customHeight="1">
      <c r="A201" s="13"/>
      <c r="B201" s="13"/>
      <c r="C201" s="13"/>
      <c r="D201" s="38" t="s">
        <v>446</v>
      </c>
      <c r="E201" s="337">
        <v>359200</v>
      </c>
      <c r="F201" s="337"/>
      <c r="G201" s="337">
        <f>G202</f>
        <v>12000</v>
      </c>
      <c r="H201" s="337">
        <f>E201+G201-F201</f>
        <v>371200</v>
      </c>
    </row>
    <row r="202" spans="1:8" ht="19.5" customHeight="1">
      <c r="A202" s="29"/>
      <c r="B202" s="29"/>
      <c r="C202" s="58">
        <v>4300</v>
      </c>
      <c r="D202" s="241" t="s">
        <v>336</v>
      </c>
      <c r="E202" s="15">
        <v>30798</v>
      </c>
      <c r="F202" s="15"/>
      <c r="G202" s="15">
        <v>12000</v>
      </c>
      <c r="H202" s="15">
        <f>E202+G202-F202</f>
        <v>42798</v>
      </c>
    </row>
    <row r="203" ht="12.75">
      <c r="E203" s="27" t="s">
        <v>208</v>
      </c>
    </row>
  </sheetData>
  <printOptions horizontalCentered="1"/>
  <pageMargins left="0.3937007874015748" right="0.3937007874015748" top="0.5118110236220472" bottom="0.5905511811023623" header="0.5118110236220472" footer="0.31496062992125984"/>
  <pageSetup firstPageNumber="20" useFirstPageNumber="1" horizontalDpi="300" verticalDpi="300" orientation="landscape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92"/>
  <sheetViews>
    <sheetView zoomScale="75" zoomScaleNormal="75" workbookViewId="0" topLeftCell="C91">
      <selection activeCell="D66" sqref="D66"/>
    </sheetView>
  </sheetViews>
  <sheetFormatPr defaultColWidth="9.00390625" defaultRowHeight="12.75"/>
  <cols>
    <col min="1" max="1" width="6.125" style="0" customWidth="1"/>
    <col min="2" max="2" width="7.875" style="0" customWidth="1"/>
    <col min="3" max="3" width="6.25390625" style="0" customWidth="1"/>
    <col min="4" max="4" width="74.00390625" style="0" customWidth="1"/>
    <col min="5" max="8" width="15.75390625" style="0" customWidth="1"/>
    <col min="9" max="9" width="11.375" style="0" customWidth="1"/>
    <col min="10" max="10" width="11.125" style="0" customWidth="1"/>
    <col min="11" max="11" width="12.125" style="0" customWidth="1"/>
  </cols>
  <sheetData>
    <row r="1" ht="15" customHeight="1">
      <c r="G1" s="33" t="s">
        <v>321</v>
      </c>
    </row>
    <row r="2" spans="1:7" ht="15" customHeight="1">
      <c r="A2" s="3" t="s">
        <v>293</v>
      </c>
      <c r="G2" s="27" t="s">
        <v>365</v>
      </c>
    </row>
    <row r="3" spans="1:7" ht="15" customHeight="1">
      <c r="A3" s="3" t="s">
        <v>294</v>
      </c>
      <c r="G3" s="27" t="s">
        <v>246</v>
      </c>
    </row>
    <row r="4" ht="15" customHeight="1">
      <c r="G4" s="27" t="s">
        <v>366</v>
      </c>
    </row>
    <row r="6" ht="13.5" thickBot="1">
      <c r="H6" s="93" t="s">
        <v>332</v>
      </c>
    </row>
    <row r="7" spans="1:8" ht="18.75" customHeight="1" thickTop="1">
      <c r="A7" s="219"/>
      <c r="B7" s="220"/>
      <c r="C7" s="220"/>
      <c r="D7" s="221" t="s">
        <v>295</v>
      </c>
      <c r="E7" s="752" t="s">
        <v>226</v>
      </c>
      <c r="F7" s="754"/>
      <c r="G7" s="752" t="s">
        <v>237</v>
      </c>
      <c r="H7" s="753"/>
    </row>
    <row r="8" spans="1:8" ht="19.5" customHeight="1" thickBot="1">
      <c r="A8" s="222" t="s">
        <v>218</v>
      </c>
      <c r="B8" s="223" t="s">
        <v>296</v>
      </c>
      <c r="C8" s="223" t="s">
        <v>330</v>
      </c>
      <c r="D8" s="223"/>
      <c r="E8" s="225" t="s">
        <v>214</v>
      </c>
      <c r="F8" s="224" t="s">
        <v>215</v>
      </c>
      <c r="G8" s="225" t="s">
        <v>214</v>
      </c>
      <c r="H8" s="224" t="s">
        <v>215</v>
      </c>
    </row>
    <row r="9" spans="1:8" ht="14.25" thickBot="1" thickTop="1">
      <c r="A9" s="226">
        <v>1</v>
      </c>
      <c r="B9" s="226">
        <v>2</v>
      </c>
      <c r="C9" s="226">
        <v>3</v>
      </c>
      <c r="D9" s="226">
        <v>4</v>
      </c>
      <c r="E9" s="226">
        <v>5</v>
      </c>
      <c r="F9" s="227">
        <v>6</v>
      </c>
      <c r="G9" s="227">
        <v>7</v>
      </c>
      <c r="H9" s="227">
        <v>8</v>
      </c>
    </row>
    <row r="10" spans="1:11" ht="24.75" customHeight="1" thickBot="1" thickTop="1">
      <c r="A10" s="228"/>
      <c r="B10" s="228"/>
      <c r="C10" s="228"/>
      <c r="D10" s="229" t="s">
        <v>333</v>
      </c>
      <c r="E10" s="230">
        <f>E11</f>
        <v>473000</v>
      </c>
      <c r="F10" s="230">
        <f>F11</f>
        <v>1003198</v>
      </c>
      <c r="G10" s="230">
        <f>G11+G235+G242+G269+G279</f>
        <v>2534043</v>
      </c>
      <c r="H10" s="230">
        <f>H11+H235+H242+H269+H279</f>
        <v>3064241</v>
      </c>
      <c r="I10" s="78">
        <f>F10-E10</f>
        <v>530198</v>
      </c>
      <c r="J10" s="2">
        <f>H10-G10</f>
        <v>530198</v>
      </c>
      <c r="K10" s="2"/>
    </row>
    <row r="11" spans="1:9" ht="21" customHeight="1">
      <c r="A11" s="231"/>
      <c r="B11" s="231"/>
      <c r="C11" s="231"/>
      <c r="D11" s="232" t="s">
        <v>250</v>
      </c>
      <c r="E11" s="233">
        <f>E12</f>
        <v>473000</v>
      </c>
      <c r="F11" s="233">
        <f>F12</f>
        <v>1003198</v>
      </c>
      <c r="G11" s="233">
        <f>G12+G58+G67+G80+G103+G160+G196+G213+G226</f>
        <v>1997443</v>
      </c>
      <c r="H11" s="233">
        <f>H12+H58+H67+H80+H103+H160+H196+H213+H226</f>
        <v>1680793</v>
      </c>
      <c r="I11" s="78"/>
    </row>
    <row r="12" spans="1:8" ht="19.5" customHeight="1">
      <c r="A12" s="231"/>
      <c r="B12" s="231"/>
      <c r="C12" s="231"/>
      <c r="D12" s="232" t="s">
        <v>241</v>
      </c>
      <c r="E12" s="233">
        <f>E13+E34</f>
        <v>473000</v>
      </c>
      <c r="F12" s="233">
        <f>F13+F34</f>
        <v>1003198</v>
      </c>
      <c r="G12" s="233">
        <f>G53</f>
        <v>140000</v>
      </c>
      <c r="H12" s="233"/>
    </row>
    <row r="13" spans="1:9" ht="19.5" customHeight="1" thickBot="1">
      <c r="A13" s="234"/>
      <c r="B13" s="89"/>
      <c r="C13" s="235"/>
      <c r="D13" s="236" t="s">
        <v>297</v>
      </c>
      <c r="E13" s="322">
        <f>E14+E23</f>
        <v>473000</v>
      </c>
      <c r="F13" s="322">
        <f>F14+F23</f>
        <v>523726</v>
      </c>
      <c r="G13" s="237"/>
      <c r="H13" s="237"/>
      <c r="I13" s="2"/>
    </row>
    <row r="14" spans="1:9" s="3" customFormat="1" ht="19.5" customHeight="1" thickBot="1">
      <c r="A14" s="70"/>
      <c r="B14" s="70"/>
      <c r="C14" s="70"/>
      <c r="D14" s="74" t="s">
        <v>231</v>
      </c>
      <c r="E14" s="74"/>
      <c r="F14" s="75">
        <f>F15+F19</f>
        <v>230736</v>
      </c>
      <c r="G14" s="74"/>
      <c r="H14" s="74"/>
      <c r="I14" s="69"/>
    </row>
    <row r="15" spans="1:9" ht="19.5" customHeight="1" thickTop="1">
      <c r="A15" s="54">
        <v>801</v>
      </c>
      <c r="B15" s="55"/>
      <c r="C15" s="55"/>
      <c r="D15" s="56" t="s">
        <v>262</v>
      </c>
      <c r="E15" s="56"/>
      <c r="F15" s="57">
        <f>F16</f>
        <v>176395</v>
      </c>
      <c r="G15" s="56"/>
      <c r="H15" s="56"/>
      <c r="I15" s="2"/>
    </row>
    <row r="16" spans="1:9" ht="19.5" customHeight="1">
      <c r="A16" s="59"/>
      <c r="B16" s="91">
        <v>80195</v>
      </c>
      <c r="C16" s="60"/>
      <c r="D16" s="92" t="s">
        <v>235</v>
      </c>
      <c r="E16" s="92"/>
      <c r="F16" s="267">
        <f>F17</f>
        <v>176395</v>
      </c>
      <c r="G16" s="92"/>
      <c r="H16" s="92"/>
      <c r="I16" s="2"/>
    </row>
    <row r="17" spans="1:9" ht="26.25" customHeight="1">
      <c r="A17" s="239"/>
      <c r="B17" s="240"/>
      <c r="C17" s="240"/>
      <c r="D17" s="88" t="s">
        <v>405</v>
      </c>
      <c r="E17" s="88"/>
      <c r="F17" s="277">
        <f>F18</f>
        <v>176395</v>
      </c>
      <c r="G17" s="88"/>
      <c r="H17" s="88"/>
      <c r="I17" s="2"/>
    </row>
    <row r="18" spans="1:9" ht="24.75" customHeight="1">
      <c r="A18" s="381"/>
      <c r="B18" s="58"/>
      <c r="C18" s="58">
        <v>203</v>
      </c>
      <c r="D18" s="241" t="s">
        <v>335</v>
      </c>
      <c r="E18" s="241"/>
      <c r="F18" s="278">
        <v>176395</v>
      </c>
      <c r="G18" s="241"/>
      <c r="H18" s="241"/>
      <c r="I18" s="2"/>
    </row>
    <row r="19" spans="1:9" ht="19.5" customHeight="1">
      <c r="A19" s="54">
        <v>854</v>
      </c>
      <c r="B19" s="55"/>
      <c r="C19" s="55"/>
      <c r="D19" s="56" t="s">
        <v>280</v>
      </c>
      <c r="E19" s="56"/>
      <c r="F19" s="57">
        <f>F20</f>
        <v>54341</v>
      </c>
      <c r="G19" s="56"/>
      <c r="H19" s="56"/>
      <c r="I19" s="2"/>
    </row>
    <row r="20" spans="1:9" ht="19.5" customHeight="1">
      <c r="A20" s="59"/>
      <c r="B20" s="91">
        <v>85495</v>
      </c>
      <c r="C20" s="60"/>
      <c r="D20" s="92" t="s">
        <v>235</v>
      </c>
      <c r="E20" s="92"/>
      <c r="F20" s="267">
        <f>F21</f>
        <v>54341</v>
      </c>
      <c r="G20" s="92"/>
      <c r="H20" s="92"/>
      <c r="I20" s="2"/>
    </row>
    <row r="21" spans="1:9" ht="26.25" customHeight="1">
      <c r="A21" s="239"/>
      <c r="B21" s="240"/>
      <c r="C21" s="240"/>
      <c r="D21" s="88" t="s">
        <v>405</v>
      </c>
      <c r="E21" s="88"/>
      <c r="F21" s="277">
        <f>F22</f>
        <v>54341</v>
      </c>
      <c r="G21" s="88"/>
      <c r="H21" s="88"/>
      <c r="I21" s="2"/>
    </row>
    <row r="22" spans="1:9" ht="24.75" customHeight="1">
      <c r="A22" s="234"/>
      <c r="B22" s="89"/>
      <c r="C22" s="58">
        <v>203</v>
      </c>
      <c r="D22" s="241" t="s">
        <v>335</v>
      </c>
      <c r="E22" s="241"/>
      <c r="F22" s="278">
        <v>54341</v>
      </c>
      <c r="G22" s="241"/>
      <c r="H22" s="241"/>
      <c r="I22" s="2"/>
    </row>
    <row r="23" spans="1:8" s="31" customFormat="1" ht="29.25" customHeight="1" thickBot="1">
      <c r="A23" s="428"/>
      <c r="B23" s="429"/>
      <c r="C23" s="345"/>
      <c r="D23" s="444" t="s">
        <v>364</v>
      </c>
      <c r="E23" s="536">
        <f>E24</f>
        <v>473000</v>
      </c>
      <c r="F23" s="536">
        <f>F24</f>
        <v>292990</v>
      </c>
      <c r="G23" s="445"/>
      <c r="H23" s="445"/>
    </row>
    <row r="24" spans="1:9" s="27" customFormat="1" ht="19.5" customHeight="1" thickTop="1">
      <c r="A24" s="54">
        <v>853</v>
      </c>
      <c r="B24" s="55"/>
      <c r="C24" s="55"/>
      <c r="D24" s="56" t="s">
        <v>216</v>
      </c>
      <c r="E24" s="57">
        <f>E25+E28+E31</f>
        <v>473000</v>
      </c>
      <c r="F24" s="57">
        <f>F25+F28+F31</f>
        <v>292990</v>
      </c>
      <c r="G24" s="57"/>
      <c r="H24" s="57"/>
      <c r="I24" s="435"/>
    </row>
    <row r="25" spans="1:9" s="27" customFormat="1" ht="27.75" customHeight="1">
      <c r="A25" s="90"/>
      <c r="B25" s="70">
        <v>85313</v>
      </c>
      <c r="C25" s="279"/>
      <c r="D25" s="520" t="s">
        <v>408</v>
      </c>
      <c r="E25" s="62">
        <f>E26</f>
        <v>473000</v>
      </c>
      <c r="F25" s="62"/>
      <c r="G25" s="62"/>
      <c r="H25" s="62"/>
      <c r="I25" s="448"/>
    </row>
    <row r="26" spans="1:9" s="27" customFormat="1" ht="24.75" customHeight="1">
      <c r="A26" s="13"/>
      <c r="B26" s="85"/>
      <c r="C26" s="85"/>
      <c r="D26" s="521" t="s">
        <v>409</v>
      </c>
      <c r="E26" s="39">
        <f>E27</f>
        <v>473000</v>
      </c>
      <c r="F26" s="39"/>
      <c r="G26" s="39"/>
      <c r="H26" s="39"/>
      <c r="I26" s="448"/>
    </row>
    <row r="27" spans="1:9" s="27" customFormat="1" ht="26.25" customHeight="1">
      <c r="A27" s="23"/>
      <c r="B27" s="23"/>
      <c r="C27" s="23">
        <v>201</v>
      </c>
      <c r="D27" s="280" t="s">
        <v>410</v>
      </c>
      <c r="E27" s="19">
        <v>473000</v>
      </c>
      <c r="F27" s="19"/>
      <c r="G27" s="19"/>
      <c r="H27" s="19"/>
      <c r="I27" s="448"/>
    </row>
    <row r="28" spans="1:9" s="27" customFormat="1" ht="19.5" customHeight="1">
      <c r="A28" s="90"/>
      <c r="B28" s="60">
        <v>85314</v>
      </c>
      <c r="C28" s="60"/>
      <c r="D28" s="61" t="s">
        <v>411</v>
      </c>
      <c r="E28" s="62"/>
      <c r="F28" s="62">
        <f>F29</f>
        <v>292000</v>
      </c>
      <c r="G28" s="62"/>
      <c r="H28" s="62"/>
      <c r="I28" s="436"/>
    </row>
    <row r="29" spans="1:9" s="31" customFormat="1" ht="26.25" customHeight="1">
      <c r="A29" s="13"/>
      <c r="B29" s="13"/>
      <c r="C29" s="85"/>
      <c r="D29" s="38" t="s">
        <v>412</v>
      </c>
      <c r="E29" s="39"/>
      <c r="F29" s="39">
        <f>F30</f>
        <v>292000</v>
      </c>
      <c r="G29" s="39"/>
      <c r="H29" s="39"/>
      <c r="I29" s="449"/>
    </row>
    <row r="30" spans="1:9" s="27" customFormat="1" ht="27" customHeight="1">
      <c r="A30" s="16"/>
      <c r="B30" s="23"/>
      <c r="C30" s="23">
        <v>201</v>
      </c>
      <c r="D30" s="280" t="s">
        <v>410</v>
      </c>
      <c r="E30" s="19"/>
      <c r="F30" s="19">
        <f>69000+223000</f>
        <v>292000</v>
      </c>
      <c r="G30" s="19"/>
      <c r="H30" s="19"/>
      <c r="I30" s="436"/>
    </row>
    <row r="31" spans="1:9" s="31" customFormat="1" ht="18.75" customHeight="1">
      <c r="A31" s="90"/>
      <c r="B31" s="91">
        <v>85395</v>
      </c>
      <c r="C31" s="91"/>
      <c r="D31" s="61" t="s">
        <v>235</v>
      </c>
      <c r="E31" s="62"/>
      <c r="F31" s="62">
        <f>F32</f>
        <v>990</v>
      </c>
      <c r="G31" s="62"/>
      <c r="H31" s="62"/>
      <c r="I31" s="450"/>
    </row>
    <row r="32" spans="1:9" s="31" customFormat="1" ht="18" customHeight="1">
      <c r="A32" s="13"/>
      <c r="B32" s="13"/>
      <c r="C32" s="13"/>
      <c r="D32" s="38" t="s">
        <v>325</v>
      </c>
      <c r="E32" s="39"/>
      <c r="F32" s="39">
        <f>F33</f>
        <v>990</v>
      </c>
      <c r="G32" s="39"/>
      <c r="H32" s="39"/>
      <c r="I32" s="450"/>
    </row>
    <row r="33" spans="1:9" s="31" customFormat="1" ht="29.25" customHeight="1">
      <c r="A33" s="16"/>
      <c r="B33" s="16"/>
      <c r="C33" s="58">
        <v>201</v>
      </c>
      <c r="D33" s="241" t="s">
        <v>326</v>
      </c>
      <c r="E33" s="19"/>
      <c r="F33" s="19">
        <v>990</v>
      </c>
      <c r="G33" s="19"/>
      <c r="H33" s="19"/>
      <c r="I33" s="450"/>
    </row>
    <row r="34" spans="1:9" ht="19.5" customHeight="1" thickBot="1">
      <c r="A34" s="239"/>
      <c r="B34" s="240"/>
      <c r="C34" s="240"/>
      <c r="D34" s="236" t="s">
        <v>298</v>
      </c>
      <c r="E34" s="322"/>
      <c r="F34" s="322">
        <f>F35+F48</f>
        <v>479472</v>
      </c>
      <c r="G34" s="236"/>
      <c r="H34" s="236"/>
      <c r="I34" s="2"/>
    </row>
    <row r="35" spans="1:9" s="27" customFormat="1" ht="19.5" customHeight="1" thickBot="1">
      <c r="A35" s="13"/>
      <c r="B35" s="13"/>
      <c r="C35" s="13"/>
      <c r="D35" s="74" t="s">
        <v>231</v>
      </c>
      <c r="E35" s="7"/>
      <c r="F35" s="7">
        <f>F36+F40+F44</f>
        <v>467472</v>
      </c>
      <c r="G35" s="7"/>
      <c r="H35" s="284"/>
      <c r="I35" s="424"/>
    </row>
    <row r="36" spans="1:9" s="27" customFormat="1" ht="19.5" customHeight="1" thickTop="1">
      <c r="A36" s="423">
        <v>801</v>
      </c>
      <c r="B36" s="166"/>
      <c r="C36" s="166"/>
      <c r="D36" s="430" t="s">
        <v>262</v>
      </c>
      <c r="E36" s="440"/>
      <c r="F36" s="440">
        <f>F37</f>
        <v>181230</v>
      </c>
      <c r="G36" s="440"/>
      <c r="H36" s="440"/>
      <c r="I36" s="447"/>
    </row>
    <row r="37" spans="1:9" s="27" customFormat="1" ht="19.5" customHeight="1">
      <c r="A37" s="90"/>
      <c r="B37" s="511">
        <v>80195</v>
      </c>
      <c r="C37" s="512"/>
      <c r="D37" s="171" t="s">
        <v>235</v>
      </c>
      <c r="E37" s="62"/>
      <c r="F37" s="62">
        <f>F38</f>
        <v>181230</v>
      </c>
      <c r="G37" s="62"/>
      <c r="H37" s="62"/>
      <c r="I37" s="446"/>
    </row>
    <row r="38" spans="1:9" s="27" customFormat="1" ht="26.25" customHeight="1">
      <c r="A38" s="13"/>
      <c r="B38" s="513"/>
      <c r="C38" s="514"/>
      <c r="D38" s="39" t="s">
        <v>406</v>
      </c>
      <c r="E38" s="39"/>
      <c r="F38" s="39">
        <f>F39</f>
        <v>181230</v>
      </c>
      <c r="G38" s="39"/>
      <c r="H38" s="39"/>
      <c r="I38" s="390"/>
    </row>
    <row r="39" spans="1:9" s="31" customFormat="1" ht="27.75" customHeight="1">
      <c r="A39" s="16"/>
      <c r="B39" s="35"/>
      <c r="C39" s="515">
        <v>213</v>
      </c>
      <c r="D39" s="280" t="s">
        <v>205</v>
      </c>
      <c r="E39" s="99"/>
      <c r="F39" s="99">
        <v>181230</v>
      </c>
      <c r="G39" s="99"/>
      <c r="H39" s="99"/>
      <c r="I39" s="450"/>
    </row>
    <row r="40" spans="1:9" s="27" customFormat="1" ht="19.5" customHeight="1">
      <c r="A40" s="423">
        <v>853</v>
      </c>
      <c r="B40" s="166"/>
      <c r="C40" s="166"/>
      <c r="D40" s="56" t="s">
        <v>216</v>
      </c>
      <c r="E40" s="57"/>
      <c r="F40" s="57">
        <f>F41</f>
        <v>250000</v>
      </c>
      <c r="G40" s="57"/>
      <c r="H40" s="57"/>
      <c r="I40" s="447"/>
    </row>
    <row r="41" spans="1:9" s="27" customFormat="1" ht="19.5" customHeight="1">
      <c r="A41" s="90"/>
      <c r="B41" s="10">
        <v>85304</v>
      </c>
      <c r="C41" s="10"/>
      <c r="D41" s="70" t="s">
        <v>401</v>
      </c>
      <c r="E41" s="62"/>
      <c r="F41" s="62">
        <f>F42</f>
        <v>250000</v>
      </c>
      <c r="G41" s="62"/>
      <c r="H41" s="62"/>
      <c r="I41" s="446"/>
    </row>
    <row r="42" spans="1:9" s="27" customFormat="1" ht="26.25" customHeight="1">
      <c r="A42" s="13"/>
      <c r="B42" s="13"/>
      <c r="C42" s="13"/>
      <c r="D42" s="38" t="s">
        <v>402</v>
      </c>
      <c r="E42" s="39"/>
      <c r="F42" s="39">
        <f>F43</f>
        <v>250000</v>
      </c>
      <c r="G42" s="39"/>
      <c r="H42" s="39"/>
      <c r="I42" s="390"/>
    </row>
    <row r="43" spans="1:9" s="31" customFormat="1" ht="27.75" customHeight="1">
      <c r="A43" s="16"/>
      <c r="B43" s="16"/>
      <c r="C43" s="279">
        <v>213</v>
      </c>
      <c r="D43" s="280" t="s">
        <v>205</v>
      </c>
      <c r="E43" s="19"/>
      <c r="F43" s="19">
        <v>250000</v>
      </c>
      <c r="G43" s="19"/>
      <c r="H43" s="19"/>
      <c r="I43" s="450"/>
    </row>
    <row r="44" spans="1:9" s="27" customFormat="1" ht="19.5" customHeight="1">
      <c r="A44" s="423">
        <v>854</v>
      </c>
      <c r="B44" s="166"/>
      <c r="C44" s="166"/>
      <c r="D44" s="56" t="s">
        <v>280</v>
      </c>
      <c r="E44" s="57"/>
      <c r="F44" s="57">
        <f>F45</f>
        <v>36242</v>
      </c>
      <c r="G44" s="57"/>
      <c r="H44" s="57"/>
      <c r="I44" s="447"/>
    </row>
    <row r="45" spans="1:9" s="27" customFormat="1" ht="19.5" customHeight="1">
      <c r="A45" s="90"/>
      <c r="B45" s="511">
        <v>85495</v>
      </c>
      <c r="C45" s="512"/>
      <c r="D45" s="171" t="s">
        <v>235</v>
      </c>
      <c r="E45" s="62"/>
      <c r="F45" s="62">
        <f>F46</f>
        <v>36242</v>
      </c>
      <c r="G45" s="62"/>
      <c r="H45" s="62"/>
      <c r="I45" s="446"/>
    </row>
    <row r="46" spans="1:9" s="27" customFormat="1" ht="26.25" customHeight="1">
      <c r="A46" s="13"/>
      <c r="B46" s="513"/>
      <c r="C46" s="514"/>
      <c r="D46" s="39" t="s">
        <v>406</v>
      </c>
      <c r="E46" s="39"/>
      <c r="F46" s="39">
        <f>F47</f>
        <v>36242</v>
      </c>
      <c r="G46" s="39"/>
      <c r="H46" s="39"/>
      <c r="I46" s="390"/>
    </row>
    <row r="47" spans="1:9" s="31" customFormat="1" ht="27.75" customHeight="1">
      <c r="A47" s="16"/>
      <c r="B47" s="513"/>
      <c r="C47" s="515">
        <v>213</v>
      </c>
      <c r="D47" s="280" t="s">
        <v>205</v>
      </c>
      <c r="E47" s="19"/>
      <c r="F47" s="19">
        <v>36242</v>
      </c>
      <c r="G47" s="19"/>
      <c r="H47" s="19"/>
      <c r="I47" s="450"/>
    </row>
    <row r="48" spans="1:9" s="3" customFormat="1" ht="19.5" customHeight="1" thickBot="1">
      <c r="A48" s="70"/>
      <c r="B48" s="70"/>
      <c r="C48" s="70"/>
      <c r="D48" s="74" t="s">
        <v>258</v>
      </c>
      <c r="E48" s="7"/>
      <c r="F48" s="7">
        <f>F49</f>
        <v>12000</v>
      </c>
      <c r="G48" s="7"/>
      <c r="H48" s="7"/>
      <c r="I48" s="310"/>
    </row>
    <row r="49" spans="1:9" s="27" customFormat="1" ht="19.5" customHeight="1" thickTop="1">
      <c r="A49" s="54">
        <v>853</v>
      </c>
      <c r="B49" s="55"/>
      <c r="C49" s="55"/>
      <c r="D49" s="56" t="s">
        <v>216</v>
      </c>
      <c r="E49" s="57"/>
      <c r="F49" s="57">
        <f>F50</f>
        <v>12000</v>
      </c>
      <c r="G49" s="57"/>
      <c r="H49" s="57"/>
      <c r="I49" s="447"/>
    </row>
    <row r="50" spans="1:9" s="27" customFormat="1" ht="19.5" customHeight="1">
      <c r="A50" s="90"/>
      <c r="B50" s="10">
        <v>85321</v>
      </c>
      <c r="C50" s="10"/>
      <c r="D50" s="10" t="s">
        <v>397</v>
      </c>
      <c r="E50" s="62"/>
      <c r="F50" s="62">
        <f>F51</f>
        <v>12000</v>
      </c>
      <c r="G50" s="62"/>
      <c r="H50" s="62"/>
      <c r="I50" s="446"/>
    </row>
    <row r="51" spans="1:9" s="27" customFormat="1" ht="26.25" customHeight="1">
      <c r="A51" s="29"/>
      <c r="B51" s="29"/>
      <c r="C51" s="29"/>
      <c r="D51" s="83" t="s">
        <v>398</v>
      </c>
      <c r="E51" s="84"/>
      <c r="F51" s="84">
        <f>F52</f>
        <v>12000</v>
      </c>
      <c r="G51" s="84"/>
      <c r="H51" s="84"/>
      <c r="I51" s="390"/>
    </row>
    <row r="52" spans="1:9" s="31" customFormat="1" ht="28.5" customHeight="1">
      <c r="A52" s="16"/>
      <c r="B52" s="16"/>
      <c r="C52" s="279">
        <v>211</v>
      </c>
      <c r="D52" s="280" t="s">
        <v>299</v>
      </c>
      <c r="E52" s="19"/>
      <c r="F52" s="19">
        <v>12000</v>
      </c>
      <c r="G52" s="19"/>
      <c r="H52" s="19"/>
      <c r="I52" s="450"/>
    </row>
    <row r="53" spans="1:9" ht="19.5" customHeight="1" thickBot="1">
      <c r="A53" s="23"/>
      <c r="B53" s="23"/>
      <c r="C53" s="23"/>
      <c r="D53" s="6" t="s">
        <v>260</v>
      </c>
      <c r="E53" s="6"/>
      <c r="F53" s="7"/>
      <c r="G53" s="7">
        <f>G54</f>
        <v>140000</v>
      </c>
      <c r="H53" s="7"/>
      <c r="I53" s="2"/>
    </row>
    <row r="54" spans="1:9" ht="19.5" customHeight="1" thickTop="1">
      <c r="A54" s="8">
        <v>758</v>
      </c>
      <c r="B54" s="8"/>
      <c r="C54" s="8"/>
      <c r="D54" s="8" t="s">
        <v>289</v>
      </c>
      <c r="E54" s="8"/>
      <c r="F54" s="9"/>
      <c r="G54" s="9">
        <f>G55</f>
        <v>140000</v>
      </c>
      <c r="H54" s="9"/>
      <c r="I54" s="2"/>
    </row>
    <row r="55" spans="1:9" ht="19.5" customHeight="1">
      <c r="A55" s="13"/>
      <c r="B55" s="10">
        <v>75818</v>
      </c>
      <c r="C55" s="10"/>
      <c r="D55" s="10" t="s">
        <v>290</v>
      </c>
      <c r="E55" s="10"/>
      <c r="F55" s="145"/>
      <c r="G55" s="145">
        <f>G56</f>
        <v>140000</v>
      </c>
      <c r="H55" s="145"/>
      <c r="I55" s="2"/>
    </row>
    <row r="56" spans="1:9" ht="18.75" customHeight="1">
      <c r="A56" s="13"/>
      <c r="B56" s="85"/>
      <c r="C56" s="85"/>
      <c r="D56" s="248" t="s">
        <v>300</v>
      </c>
      <c r="E56" s="248"/>
      <c r="F56" s="100"/>
      <c r="G56" s="100">
        <f>G57</f>
        <v>140000</v>
      </c>
      <c r="H56" s="100"/>
      <c r="I56" s="2"/>
    </row>
    <row r="57" spans="1:9" ht="18.75" customHeight="1">
      <c r="A57" s="13"/>
      <c r="B57" s="13"/>
      <c r="C57" s="23">
        <v>4810</v>
      </c>
      <c r="D57" s="23" t="s">
        <v>301</v>
      </c>
      <c r="E57" s="23"/>
      <c r="F57" s="15"/>
      <c r="G57" s="15">
        <v>140000</v>
      </c>
      <c r="H57" s="15"/>
      <c r="I57" s="2"/>
    </row>
    <row r="58" spans="1:9" ht="19.5" customHeight="1">
      <c r="A58" s="16"/>
      <c r="B58" s="16"/>
      <c r="C58" s="312"/>
      <c r="D58" s="296" t="s">
        <v>419</v>
      </c>
      <c r="E58" s="296"/>
      <c r="F58" s="313"/>
      <c r="G58" s="313">
        <f>G59</f>
        <v>6000</v>
      </c>
      <c r="H58" s="313">
        <f>H59</f>
        <v>6000</v>
      </c>
      <c r="I58" s="2"/>
    </row>
    <row r="59" spans="1:9" ht="19.5" customHeight="1" thickBot="1">
      <c r="A59" s="29"/>
      <c r="B59" s="29"/>
      <c r="C59" s="29"/>
      <c r="D59" s="6" t="s">
        <v>260</v>
      </c>
      <c r="E59" s="6"/>
      <c r="F59" s="7"/>
      <c r="G59" s="7">
        <f>G60</f>
        <v>6000</v>
      </c>
      <c r="H59" s="7">
        <f>H60</f>
        <v>6000</v>
      </c>
      <c r="I59" s="2"/>
    </row>
    <row r="60" spans="1:9" ht="19.5" customHeight="1" thickTop="1">
      <c r="A60" s="8">
        <v>710</v>
      </c>
      <c r="B60" s="8"/>
      <c r="C60" s="8"/>
      <c r="D60" s="8" t="s">
        <v>415</v>
      </c>
      <c r="E60" s="9"/>
      <c r="F60" s="9"/>
      <c r="G60" s="9">
        <f>G61+G64</f>
        <v>6000</v>
      </c>
      <c r="H60" s="9">
        <f>H61+H64</f>
        <v>6000</v>
      </c>
      <c r="I60" s="2"/>
    </row>
    <row r="61" spans="1:9" ht="19.5" customHeight="1">
      <c r="A61" s="13"/>
      <c r="B61" s="70">
        <v>71014</v>
      </c>
      <c r="C61" s="70"/>
      <c r="D61" s="70" t="s">
        <v>416</v>
      </c>
      <c r="E61" s="244"/>
      <c r="F61" s="244"/>
      <c r="G61" s="244">
        <f>G62</f>
        <v>6000</v>
      </c>
      <c r="H61" s="244"/>
      <c r="I61" s="2"/>
    </row>
    <row r="62" spans="1:9" ht="18.75" customHeight="1">
      <c r="A62" s="13"/>
      <c r="B62" s="85"/>
      <c r="C62" s="85"/>
      <c r="D62" s="38" t="s">
        <v>417</v>
      </c>
      <c r="E62" s="100"/>
      <c r="F62" s="100"/>
      <c r="G62" s="100">
        <f>G63</f>
        <v>6000</v>
      </c>
      <c r="H62" s="100"/>
      <c r="I62" s="2"/>
    </row>
    <row r="63" spans="1:9" ht="18.75" customHeight="1">
      <c r="A63" s="13"/>
      <c r="B63" s="29"/>
      <c r="C63" s="23">
        <v>4300</v>
      </c>
      <c r="D63" s="505" t="s">
        <v>336</v>
      </c>
      <c r="E63" s="247"/>
      <c r="F63" s="247"/>
      <c r="G63" s="247">
        <v>6000</v>
      </c>
      <c r="H63" s="247"/>
      <c r="I63" s="2"/>
    </row>
    <row r="64" spans="1:9" ht="19.5" customHeight="1">
      <c r="A64" s="63"/>
      <c r="B64" s="453">
        <v>71095</v>
      </c>
      <c r="C64" s="167"/>
      <c r="D64" s="167" t="s">
        <v>235</v>
      </c>
      <c r="E64" s="244"/>
      <c r="F64" s="244"/>
      <c r="G64" s="244"/>
      <c r="H64" s="244">
        <f>H65</f>
        <v>6000</v>
      </c>
      <c r="I64" s="2"/>
    </row>
    <row r="65" spans="1:9" ht="18.75" customHeight="1">
      <c r="A65" s="63"/>
      <c r="B65" s="170"/>
      <c r="C65" s="13"/>
      <c r="D65" s="248" t="s">
        <v>830</v>
      </c>
      <c r="E65" s="100"/>
      <c r="F65" s="100"/>
      <c r="G65" s="100"/>
      <c r="H65" s="100">
        <f>H66</f>
        <v>6000</v>
      </c>
      <c r="I65" s="2"/>
    </row>
    <row r="66" spans="1:9" ht="18.75" customHeight="1">
      <c r="A66" s="13"/>
      <c r="B66" s="13"/>
      <c r="C66" s="23">
        <v>6010</v>
      </c>
      <c r="D66" s="12" t="s">
        <v>418</v>
      </c>
      <c r="E66" s="247"/>
      <c r="F66" s="247"/>
      <c r="G66" s="247"/>
      <c r="H66" s="247">
        <v>6000</v>
      </c>
      <c r="I66" s="2"/>
    </row>
    <row r="67" spans="1:9" ht="19.5" customHeight="1">
      <c r="A67" s="16"/>
      <c r="B67" s="16"/>
      <c r="C67" s="312"/>
      <c r="D67" s="296" t="s">
        <v>420</v>
      </c>
      <c r="E67" s="296"/>
      <c r="F67" s="313"/>
      <c r="G67" s="313">
        <f>G68+G74</f>
        <v>340000</v>
      </c>
      <c r="H67" s="313">
        <f>H68+H74</f>
        <v>340000</v>
      </c>
      <c r="I67" s="2"/>
    </row>
    <row r="68" spans="1:9" ht="19.5" customHeight="1" thickBot="1">
      <c r="A68" s="29"/>
      <c r="B68" s="29"/>
      <c r="C68" s="29"/>
      <c r="D68" s="6" t="s">
        <v>260</v>
      </c>
      <c r="E68" s="6"/>
      <c r="F68" s="7"/>
      <c r="G68" s="7">
        <f aca="true" t="shared" si="0" ref="G68:H70">G69</f>
        <v>80000</v>
      </c>
      <c r="H68" s="7">
        <f t="shared" si="0"/>
        <v>80000</v>
      </c>
      <c r="I68" s="2"/>
    </row>
    <row r="69" spans="1:9" ht="19.5" customHeight="1" thickTop="1">
      <c r="A69" s="8">
        <v>900</v>
      </c>
      <c r="B69" s="8"/>
      <c r="C69" s="8"/>
      <c r="D69" s="8" t="s">
        <v>351</v>
      </c>
      <c r="E69" s="9"/>
      <c r="F69" s="9"/>
      <c r="G69" s="9">
        <f t="shared" si="0"/>
        <v>80000</v>
      </c>
      <c r="H69" s="9">
        <f t="shared" si="0"/>
        <v>80000</v>
      </c>
      <c r="I69" s="2"/>
    </row>
    <row r="70" spans="1:9" ht="19.5" customHeight="1">
      <c r="A70" s="34"/>
      <c r="B70" s="70">
        <v>90001</v>
      </c>
      <c r="C70" s="70"/>
      <c r="D70" s="70" t="s">
        <v>200</v>
      </c>
      <c r="E70" s="244"/>
      <c r="F70" s="244"/>
      <c r="G70" s="244">
        <f t="shared" si="0"/>
        <v>80000</v>
      </c>
      <c r="H70" s="244">
        <f t="shared" si="0"/>
        <v>80000</v>
      </c>
      <c r="I70" s="2"/>
    </row>
    <row r="71" spans="1:9" ht="18.75" customHeight="1">
      <c r="A71" s="13"/>
      <c r="B71" s="13"/>
      <c r="C71" s="13"/>
      <c r="D71" s="248" t="s">
        <v>387</v>
      </c>
      <c r="E71" s="100"/>
      <c r="F71" s="100"/>
      <c r="G71" s="100">
        <f>SUM(G72:G73)</f>
        <v>80000</v>
      </c>
      <c r="H71" s="100">
        <f>SUM(H72:H73)</f>
        <v>80000</v>
      </c>
      <c r="I71" s="2"/>
    </row>
    <row r="72" spans="1:9" ht="18.75" customHeight="1">
      <c r="A72" s="13"/>
      <c r="B72" s="13"/>
      <c r="C72" s="23">
        <v>4270</v>
      </c>
      <c r="D72" s="12" t="s">
        <v>389</v>
      </c>
      <c r="E72" s="247"/>
      <c r="F72" s="247"/>
      <c r="G72" s="247"/>
      <c r="H72" s="247">
        <v>80000</v>
      </c>
      <c r="I72" s="2"/>
    </row>
    <row r="73" spans="1:9" ht="18.75" customHeight="1">
      <c r="A73" s="13"/>
      <c r="B73" s="13"/>
      <c r="C73" s="23">
        <v>4300</v>
      </c>
      <c r="D73" s="502" t="s">
        <v>336</v>
      </c>
      <c r="E73" s="292"/>
      <c r="F73" s="292"/>
      <c r="G73" s="292">
        <v>80000</v>
      </c>
      <c r="H73" s="292"/>
      <c r="I73" s="2"/>
    </row>
    <row r="74" spans="1:9" ht="19.5" customHeight="1" thickBot="1">
      <c r="A74" s="29"/>
      <c r="B74" s="29"/>
      <c r="C74" s="29"/>
      <c r="D74" s="6" t="s">
        <v>291</v>
      </c>
      <c r="E74" s="6"/>
      <c r="F74" s="7"/>
      <c r="G74" s="7">
        <f aca="true" t="shared" si="1" ref="G74:H76">G75</f>
        <v>260000</v>
      </c>
      <c r="H74" s="7">
        <f t="shared" si="1"/>
        <v>260000</v>
      </c>
      <c r="I74" s="2"/>
    </row>
    <row r="75" spans="1:9" ht="19.5" customHeight="1" thickTop="1">
      <c r="A75" s="443" t="s">
        <v>390</v>
      </c>
      <c r="B75" s="95"/>
      <c r="C75" s="8"/>
      <c r="D75" s="8" t="s">
        <v>351</v>
      </c>
      <c r="E75" s="9"/>
      <c r="F75" s="9"/>
      <c r="G75" s="57">
        <f t="shared" si="1"/>
        <v>260000</v>
      </c>
      <c r="H75" s="57">
        <f t="shared" si="1"/>
        <v>260000</v>
      </c>
      <c r="I75" s="2"/>
    </row>
    <row r="76" spans="1:9" ht="19.5" customHeight="1">
      <c r="A76" s="13"/>
      <c r="B76" s="10">
        <v>90015</v>
      </c>
      <c r="C76" s="10"/>
      <c r="D76" s="11" t="s">
        <v>352</v>
      </c>
      <c r="E76" s="244"/>
      <c r="F76" s="244"/>
      <c r="G76" s="145">
        <f t="shared" si="1"/>
        <v>260000</v>
      </c>
      <c r="H76" s="145">
        <f t="shared" si="1"/>
        <v>260000</v>
      </c>
      <c r="I76" s="2"/>
    </row>
    <row r="77" spans="1:9" ht="18.75" customHeight="1">
      <c r="A77" s="13"/>
      <c r="B77" s="13"/>
      <c r="C77" s="89"/>
      <c r="D77" s="457" t="s">
        <v>391</v>
      </c>
      <c r="E77" s="100"/>
      <c r="F77" s="100"/>
      <c r="G77" s="337">
        <f>SUM(G78:G79)</f>
        <v>260000</v>
      </c>
      <c r="H77" s="337">
        <f>SUM(H78:H79)</f>
        <v>260000</v>
      </c>
      <c r="I77" s="2"/>
    </row>
    <row r="78" spans="1:9" ht="18.75" customHeight="1">
      <c r="A78" s="13"/>
      <c r="B78" s="13"/>
      <c r="C78" s="58">
        <v>4260</v>
      </c>
      <c r="D78" s="241" t="s">
        <v>392</v>
      </c>
      <c r="E78" s="247"/>
      <c r="F78" s="247"/>
      <c r="G78" s="19"/>
      <c r="H78" s="19">
        <v>260000</v>
      </c>
      <c r="I78" s="2"/>
    </row>
    <row r="79" spans="1:9" ht="18.75" customHeight="1">
      <c r="A79" s="29"/>
      <c r="B79" s="29"/>
      <c r="C79" s="58">
        <v>4300</v>
      </c>
      <c r="D79" s="241" t="s">
        <v>336</v>
      </c>
      <c r="E79" s="292"/>
      <c r="F79" s="292"/>
      <c r="G79" s="19">
        <v>260000</v>
      </c>
      <c r="H79" s="19"/>
      <c r="I79" s="2"/>
    </row>
    <row r="80" spans="1:9" ht="19.5" customHeight="1">
      <c r="A80" s="13"/>
      <c r="B80" s="13"/>
      <c r="C80" s="16"/>
      <c r="D80" s="232" t="s">
        <v>430</v>
      </c>
      <c r="E80" s="232"/>
      <c r="F80" s="232"/>
      <c r="G80" s="233">
        <f>G81+G94</f>
        <v>598152</v>
      </c>
      <c r="H80" s="233">
        <f>H81+H94</f>
        <v>4913</v>
      </c>
      <c r="I80" s="2"/>
    </row>
    <row r="81" spans="1:8" ht="19.5" customHeight="1" thickBot="1">
      <c r="A81" s="29"/>
      <c r="B81" s="29"/>
      <c r="C81" s="29"/>
      <c r="D81" s="6" t="s">
        <v>334</v>
      </c>
      <c r="E81" s="7"/>
      <c r="F81" s="7"/>
      <c r="G81" s="7">
        <f>G87+G82</f>
        <v>593239</v>
      </c>
      <c r="H81" s="7"/>
    </row>
    <row r="82" spans="1:9" ht="19.5" customHeight="1" thickTop="1">
      <c r="A82" s="95">
        <v>801</v>
      </c>
      <c r="B82" s="508"/>
      <c r="C82" s="508"/>
      <c r="D82" s="509" t="s">
        <v>262</v>
      </c>
      <c r="E82" s="9"/>
      <c r="F82" s="9"/>
      <c r="G82" s="9">
        <f>G83</f>
        <v>63239</v>
      </c>
      <c r="H82" s="9"/>
      <c r="I82" s="2"/>
    </row>
    <row r="83" spans="1:9" ht="19.5" customHeight="1">
      <c r="A83" s="85"/>
      <c r="B83" s="10">
        <v>80110</v>
      </c>
      <c r="C83" s="164"/>
      <c r="D83" s="372" t="s">
        <v>110</v>
      </c>
      <c r="E83" s="244"/>
      <c r="F83" s="244"/>
      <c r="G83" s="244">
        <f>G84</f>
        <v>63239</v>
      </c>
      <c r="H83" s="244"/>
      <c r="I83" s="2"/>
    </row>
    <row r="84" spans="1:8" ht="19.5" customHeight="1">
      <c r="A84" s="13"/>
      <c r="B84" s="13"/>
      <c r="C84" s="85"/>
      <c r="D84" s="38" t="s">
        <v>324</v>
      </c>
      <c r="E84" s="100"/>
      <c r="F84" s="100"/>
      <c r="G84" s="100">
        <f>G86</f>
        <v>63239</v>
      </c>
      <c r="H84" s="100"/>
    </row>
    <row r="85" spans="1:8" ht="19.5" customHeight="1">
      <c r="A85" s="13"/>
      <c r="B85" s="13"/>
      <c r="C85" s="16"/>
      <c r="D85" s="565" t="s">
        <v>805</v>
      </c>
      <c r="E85" s="454"/>
      <c r="F85" s="454"/>
      <c r="G85" s="454">
        <v>63239</v>
      </c>
      <c r="H85" s="454"/>
    </row>
    <row r="86" spans="1:8" ht="19.5" customHeight="1">
      <c r="A86" s="29"/>
      <c r="B86" s="29"/>
      <c r="C86" s="23">
        <v>6050</v>
      </c>
      <c r="D86" s="23" t="s">
        <v>303</v>
      </c>
      <c r="E86" s="19"/>
      <c r="F86" s="19"/>
      <c r="G86" s="19">
        <f>G85</f>
        <v>63239</v>
      </c>
      <c r="H86" s="19"/>
    </row>
    <row r="87" spans="1:9" ht="19.5" customHeight="1">
      <c r="A87" s="95">
        <v>851</v>
      </c>
      <c r="B87" s="508"/>
      <c r="C87" s="508"/>
      <c r="D87" s="509" t="s">
        <v>337</v>
      </c>
      <c r="E87" s="9"/>
      <c r="F87" s="9"/>
      <c r="G87" s="9">
        <f>G88</f>
        <v>530000</v>
      </c>
      <c r="H87" s="9"/>
      <c r="I87" s="2"/>
    </row>
    <row r="88" spans="1:9" ht="19.5" customHeight="1">
      <c r="A88" s="85"/>
      <c r="B88" s="10">
        <v>85154</v>
      </c>
      <c r="C88" s="164"/>
      <c r="D88" s="372" t="s">
        <v>359</v>
      </c>
      <c r="E88" s="244"/>
      <c r="F88" s="244"/>
      <c r="G88" s="244">
        <f>G89</f>
        <v>530000</v>
      </c>
      <c r="H88" s="244"/>
      <c r="I88" s="2"/>
    </row>
    <row r="89" spans="1:9" ht="26.25" customHeight="1">
      <c r="A89" s="13"/>
      <c r="B89" s="468"/>
      <c r="C89" s="85"/>
      <c r="D89" s="503" t="s">
        <v>394</v>
      </c>
      <c r="E89" s="349"/>
      <c r="F89" s="349"/>
      <c r="G89" s="349">
        <f>G90</f>
        <v>530000</v>
      </c>
      <c r="H89" s="349"/>
      <c r="I89" s="2"/>
    </row>
    <row r="90" spans="1:9" ht="24.75" customHeight="1">
      <c r="A90" s="13"/>
      <c r="B90" s="13"/>
      <c r="C90" s="13"/>
      <c r="D90" s="504" t="s">
        <v>393</v>
      </c>
      <c r="E90" s="163"/>
      <c r="F90" s="163"/>
      <c r="G90" s="163">
        <f>G93+G91</f>
        <v>530000</v>
      </c>
      <c r="H90" s="163"/>
      <c r="I90" s="2"/>
    </row>
    <row r="91" spans="1:9" ht="19.5" customHeight="1">
      <c r="A91" s="13"/>
      <c r="B91" s="13"/>
      <c r="C91" s="23">
        <v>4300</v>
      </c>
      <c r="D91" s="12" t="s">
        <v>336</v>
      </c>
      <c r="E91" s="247"/>
      <c r="F91" s="247"/>
      <c r="G91" s="247">
        <v>30000</v>
      </c>
      <c r="H91" s="247"/>
      <c r="I91" s="2"/>
    </row>
    <row r="92" spans="1:9" ht="19.5" customHeight="1">
      <c r="A92" s="13"/>
      <c r="B92" s="13"/>
      <c r="C92" s="16"/>
      <c r="D92" s="506" t="s">
        <v>395</v>
      </c>
      <c r="E92" s="563"/>
      <c r="F92" s="563"/>
      <c r="G92" s="564">
        <v>500000</v>
      </c>
      <c r="H92" s="563"/>
      <c r="I92" s="2"/>
    </row>
    <row r="93" spans="1:9" ht="19.5" customHeight="1">
      <c r="A93" s="13"/>
      <c r="B93" s="13"/>
      <c r="C93" s="23">
        <v>6050</v>
      </c>
      <c r="D93" s="505" t="s">
        <v>396</v>
      </c>
      <c r="E93" s="15"/>
      <c r="F93" s="15"/>
      <c r="G93" s="15">
        <f>G92</f>
        <v>500000</v>
      </c>
      <c r="H93" s="15"/>
      <c r="I93" s="2"/>
    </row>
    <row r="94" spans="1:8" ht="19.5" customHeight="1" thickBot="1">
      <c r="A94" s="29"/>
      <c r="B94" s="29"/>
      <c r="C94" s="29"/>
      <c r="D94" s="6" t="s">
        <v>291</v>
      </c>
      <c r="E94" s="7"/>
      <c r="F94" s="7"/>
      <c r="G94" s="7">
        <f aca="true" t="shared" si="2" ref="G94:H96">G95</f>
        <v>4913</v>
      </c>
      <c r="H94" s="7">
        <f t="shared" si="2"/>
        <v>4913</v>
      </c>
    </row>
    <row r="95" spans="1:9" ht="27.75" customHeight="1" thickTop="1">
      <c r="A95" s="95">
        <v>751</v>
      </c>
      <c r="B95" s="95"/>
      <c r="C95" s="95"/>
      <c r="D95" s="318" t="s">
        <v>259</v>
      </c>
      <c r="E95" s="9"/>
      <c r="F95" s="9"/>
      <c r="G95" s="9">
        <f t="shared" si="2"/>
        <v>4913</v>
      </c>
      <c r="H95" s="9">
        <f t="shared" si="2"/>
        <v>4913</v>
      </c>
      <c r="I95" s="2"/>
    </row>
    <row r="96" spans="1:9" ht="19.5" customHeight="1">
      <c r="A96" s="4"/>
      <c r="B96" s="35">
        <v>75110</v>
      </c>
      <c r="C96" s="35"/>
      <c r="D96" s="35" t="s">
        <v>253</v>
      </c>
      <c r="E96" s="244"/>
      <c r="F96" s="244"/>
      <c r="G96" s="244">
        <f t="shared" si="2"/>
        <v>4913</v>
      </c>
      <c r="H96" s="244">
        <f t="shared" si="2"/>
        <v>4913</v>
      </c>
      <c r="I96" s="2"/>
    </row>
    <row r="97" spans="1:9" ht="19.5" customHeight="1">
      <c r="A97" s="4"/>
      <c r="B97" s="329"/>
      <c r="C97" s="85"/>
      <c r="D97" s="38" t="s">
        <v>342</v>
      </c>
      <c r="E97" s="277"/>
      <c r="F97" s="277"/>
      <c r="G97" s="277">
        <f>SUM(G98:G102)</f>
        <v>4913</v>
      </c>
      <c r="H97" s="277">
        <f>SUM(H98:H102)</f>
        <v>4913</v>
      </c>
      <c r="I97" s="2"/>
    </row>
    <row r="98" spans="1:9" ht="19.5" customHeight="1">
      <c r="A98" s="4"/>
      <c r="B98" s="530"/>
      <c r="C98" s="23">
        <v>4110</v>
      </c>
      <c r="D98" s="102" t="s">
        <v>338</v>
      </c>
      <c r="E98" s="528"/>
      <c r="F98" s="528"/>
      <c r="G98" s="528"/>
      <c r="H98" s="528">
        <v>2188</v>
      </c>
      <c r="I98" s="2"/>
    </row>
    <row r="99" spans="1:9" ht="19.5" customHeight="1">
      <c r="A99" s="4"/>
      <c r="B99" s="530"/>
      <c r="C99" s="23">
        <v>4120</v>
      </c>
      <c r="D99" s="102" t="s">
        <v>339</v>
      </c>
      <c r="E99" s="529"/>
      <c r="F99" s="529"/>
      <c r="G99" s="292"/>
      <c r="H99" s="292">
        <v>302</v>
      </c>
      <c r="I99" s="2"/>
    </row>
    <row r="100" spans="1:9" ht="19.5" customHeight="1">
      <c r="A100" s="4"/>
      <c r="B100" s="530"/>
      <c r="C100" s="23">
        <v>4210</v>
      </c>
      <c r="D100" s="12" t="s">
        <v>302</v>
      </c>
      <c r="E100" s="529"/>
      <c r="F100" s="529"/>
      <c r="G100" s="292"/>
      <c r="H100" s="292">
        <v>2423</v>
      </c>
      <c r="I100" s="2"/>
    </row>
    <row r="101" spans="1:9" ht="19.5" customHeight="1">
      <c r="A101" s="4"/>
      <c r="B101" s="530"/>
      <c r="C101" s="23">
        <v>4300</v>
      </c>
      <c r="D101" s="102" t="s">
        <v>336</v>
      </c>
      <c r="E101" s="529"/>
      <c r="F101" s="529"/>
      <c r="G101" s="292">
        <v>4884</v>
      </c>
      <c r="H101" s="292"/>
      <c r="I101" s="2"/>
    </row>
    <row r="102" spans="1:9" ht="19.5" customHeight="1">
      <c r="A102" s="4"/>
      <c r="B102" s="13"/>
      <c r="C102" s="23">
        <v>4410</v>
      </c>
      <c r="D102" s="102" t="s">
        <v>380</v>
      </c>
      <c r="E102" s="529"/>
      <c r="F102" s="529"/>
      <c r="G102" s="292">
        <v>29</v>
      </c>
      <c r="H102" s="292"/>
      <c r="I102" s="2"/>
    </row>
    <row r="103" spans="1:9" ht="23.25" customHeight="1">
      <c r="A103" s="13"/>
      <c r="B103" s="13"/>
      <c r="C103" s="16"/>
      <c r="D103" s="232" t="s">
        <v>431</v>
      </c>
      <c r="E103" s="232"/>
      <c r="F103" s="232"/>
      <c r="G103" s="233">
        <f>G104</f>
        <v>342291</v>
      </c>
      <c r="H103" s="233">
        <f>H104</f>
        <v>85880</v>
      </c>
      <c r="I103" s="2"/>
    </row>
    <row r="104" spans="1:8" ht="21" customHeight="1" thickBot="1">
      <c r="A104" s="29"/>
      <c r="B104" s="29"/>
      <c r="C104" s="29"/>
      <c r="D104" s="6" t="s">
        <v>334</v>
      </c>
      <c r="E104" s="7"/>
      <c r="F104" s="7"/>
      <c r="G104" s="7">
        <f>G105+G146</f>
        <v>342291</v>
      </c>
      <c r="H104" s="7">
        <f>H105+H146</f>
        <v>85880</v>
      </c>
    </row>
    <row r="105" spans="1:9" ht="19.5" customHeight="1" thickTop="1">
      <c r="A105" s="8">
        <v>801</v>
      </c>
      <c r="B105" s="8"/>
      <c r="C105" s="8"/>
      <c r="D105" s="8" t="s">
        <v>262</v>
      </c>
      <c r="E105" s="9"/>
      <c r="F105" s="9"/>
      <c r="G105" s="9">
        <f>G106+G115+G118+G121+G137+G140</f>
        <v>291791</v>
      </c>
      <c r="H105" s="9">
        <f>H106+H115+H118+H121+H137+H140</f>
        <v>85880</v>
      </c>
      <c r="I105" s="2"/>
    </row>
    <row r="106" spans="1:9" ht="19.5" customHeight="1">
      <c r="A106" s="13"/>
      <c r="B106" s="70">
        <v>80101</v>
      </c>
      <c r="C106" s="70"/>
      <c r="D106" s="70" t="s">
        <v>450</v>
      </c>
      <c r="E106" s="18"/>
      <c r="F106" s="18"/>
      <c r="G106" s="18">
        <f>G107+G113</f>
        <v>102800</v>
      </c>
      <c r="H106" s="18"/>
      <c r="I106" s="2"/>
    </row>
    <row r="107" spans="1:9" ht="19.5" customHeight="1">
      <c r="A107" s="13"/>
      <c r="B107" s="85"/>
      <c r="C107" s="85"/>
      <c r="D107" s="38" t="s">
        <v>451</v>
      </c>
      <c r="E107" s="100"/>
      <c r="F107" s="100"/>
      <c r="G107" s="100">
        <f>SUM(G108:G112)</f>
        <v>102000</v>
      </c>
      <c r="H107" s="100"/>
      <c r="I107" s="2"/>
    </row>
    <row r="108" spans="1:9" ht="19.5" customHeight="1">
      <c r="A108" s="16"/>
      <c r="B108" s="13"/>
      <c r="C108" s="23">
        <v>3020</v>
      </c>
      <c r="D108" s="23" t="s">
        <v>377</v>
      </c>
      <c r="E108" s="15"/>
      <c r="F108" s="15"/>
      <c r="G108" s="15">
        <v>23959</v>
      </c>
      <c r="H108" s="15"/>
      <c r="I108" s="2"/>
    </row>
    <row r="109" spans="1:9" ht="19.5" customHeight="1">
      <c r="A109" s="13"/>
      <c r="B109" s="13"/>
      <c r="C109" s="532">
        <v>4210</v>
      </c>
      <c r="D109" s="532" t="s">
        <v>302</v>
      </c>
      <c r="E109" s="19"/>
      <c r="F109" s="19"/>
      <c r="G109" s="19">
        <v>1041</v>
      </c>
      <c r="H109" s="19"/>
      <c r="I109" s="2"/>
    </row>
    <row r="110" spans="1:9" ht="19.5" customHeight="1">
      <c r="A110" s="16"/>
      <c r="B110" s="13"/>
      <c r="C110" s="533">
        <v>4240</v>
      </c>
      <c r="D110" s="533" t="s">
        <v>452</v>
      </c>
      <c r="E110" s="15"/>
      <c r="F110" s="15"/>
      <c r="G110" s="15">
        <v>32700</v>
      </c>
      <c r="H110" s="15"/>
      <c r="I110" s="2"/>
    </row>
    <row r="111" spans="1:9" ht="19.5" customHeight="1">
      <c r="A111" s="13"/>
      <c r="B111" s="13"/>
      <c r="C111" s="533">
        <v>4260</v>
      </c>
      <c r="D111" s="533" t="s">
        <v>392</v>
      </c>
      <c r="E111" s="19"/>
      <c r="F111" s="19"/>
      <c r="G111" s="19">
        <v>39300</v>
      </c>
      <c r="H111" s="19"/>
      <c r="I111" s="2"/>
    </row>
    <row r="112" spans="1:9" ht="19.5" customHeight="1">
      <c r="A112" s="13"/>
      <c r="B112" s="13"/>
      <c r="C112" s="532">
        <v>4300</v>
      </c>
      <c r="D112" s="532" t="s">
        <v>336</v>
      </c>
      <c r="E112" s="19"/>
      <c r="F112" s="19"/>
      <c r="G112" s="19">
        <v>5000</v>
      </c>
      <c r="H112" s="19"/>
      <c r="I112" s="2"/>
    </row>
    <row r="113" spans="1:9" ht="19.5" customHeight="1">
      <c r="A113" s="13"/>
      <c r="B113" s="13"/>
      <c r="C113" s="13"/>
      <c r="D113" s="246" t="s">
        <v>211</v>
      </c>
      <c r="E113" s="100"/>
      <c r="F113" s="100"/>
      <c r="G113" s="100">
        <f>G114</f>
        <v>800</v>
      </c>
      <c r="H113" s="100"/>
      <c r="I113" s="2"/>
    </row>
    <row r="114" spans="1:9" ht="19.5" customHeight="1">
      <c r="A114" s="16"/>
      <c r="B114" s="29"/>
      <c r="C114" s="23">
        <v>4110</v>
      </c>
      <c r="D114" s="23" t="s">
        <v>338</v>
      </c>
      <c r="E114" s="15"/>
      <c r="F114" s="15"/>
      <c r="G114" s="15">
        <v>800</v>
      </c>
      <c r="H114" s="15"/>
      <c r="I114" s="2"/>
    </row>
    <row r="115" spans="1:9" ht="19.5" customHeight="1">
      <c r="A115" s="13"/>
      <c r="B115" s="70">
        <v>80120</v>
      </c>
      <c r="C115" s="70"/>
      <c r="D115" s="70" t="s">
        <v>453</v>
      </c>
      <c r="E115" s="18"/>
      <c r="F115" s="18"/>
      <c r="G115" s="18">
        <f>G116</f>
        <v>8000</v>
      </c>
      <c r="H115" s="18"/>
      <c r="I115" s="2"/>
    </row>
    <row r="116" spans="1:9" ht="19.5" customHeight="1">
      <c r="A116" s="13"/>
      <c r="B116" s="85"/>
      <c r="C116" s="13"/>
      <c r="D116" s="246" t="s">
        <v>211</v>
      </c>
      <c r="E116" s="100"/>
      <c r="F116" s="100"/>
      <c r="G116" s="100">
        <f>G117</f>
        <v>8000</v>
      </c>
      <c r="H116" s="100"/>
      <c r="I116" s="2"/>
    </row>
    <row r="117" spans="1:9" ht="19.5" customHeight="1">
      <c r="A117" s="16"/>
      <c r="B117" s="29"/>
      <c r="C117" s="23">
        <v>4110</v>
      </c>
      <c r="D117" s="23" t="s">
        <v>338</v>
      </c>
      <c r="E117" s="15"/>
      <c r="F117" s="15"/>
      <c r="G117" s="15">
        <v>8000</v>
      </c>
      <c r="H117" s="15"/>
      <c r="I117" s="2"/>
    </row>
    <row r="118" spans="1:9" ht="19.5" customHeight="1">
      <c r="A118" s="13"/>
      <c r="B118" s="70">
        <v>80123</v>
      </c>
      <c r="C118" s="70"/>
      <c r="D118" s="70" t="s">
        <v>456</v>
      </c>
      <c r="E118" s="18"/>
      <c r="F118" s="18"/>
      <c r="G118" s="18">
        <f>G119</f>
        <v>1000</v>
      </c>
      <c r="H118" s="18"/>
      <c r="I118" s="2"/>
    </row>
    <row r="119" spans="1:9" ht="19.5" customHeight="1">
      <c r="A119" s="13"/>
      <c r="B119" s="85"/>
      <c r="C119" s="13"/>
      <c r="D119" s="246" t="s">
        <v>211</v>
      </c>
      <c r="E119" s="100"/>
      <c r="F119" s="100"/>
      <c r="G119" s="100">
        <f>G120</f>
        <v>1000</v>
      </c>
      <c r="H119" s="100"/>
      <c r="I119" s="2"/>
    </row>
    <row r="120" spans="1:9" ht="19.5" customHeight="1">
      <c r="A120" s="16"/>
      <c r="B120" s="29"/>
      <c r="C120" s="23">
        <v>4110</v>
      </c>
      <c r="D120" s="23" t="s">
        <v>338</v>
      </c>
      <c r="E120" s="15"/>
      <c r="F120" s="15"/>
      <c r="G120" s="15">
        <v>1000</v>
      </c>
      <c r="H120" s="15"/>
      <c r="I120" s="2"/>
    </row>
    <row r="121" spans="1:9" ht="19.5" customHeight="1">
      <c r="A121" s="13"/>
      <c r="B121" s="10">
        <v>80130</v>
      </c>
      <c r="C121" s="10"/>
      <c r="D121" s="11" t="s">
        <v>445</v>
      </c>
      <c r="E121" s="244"/>
      <c r="F121" s="244"/>
      <c r="G121" s="244">
        <f>G122+G124+G126</f>
        <v>179036</v>
      </c>
      <c r="H121" s="244">
        <f>H122+H124+H126</f>
        <v>85000</v>
      </c>
      <c r="I121" s="2"/>
    </row>
    <row r="122" spans="1:9" ht="19.5" customHeight="1">
      <c r="A122" s="13"/>
      <c r="B122" s="13"/>
      <c r="C122" s="13"/>
      <c r="D122" s="248" t="s">
        <v>304</v>
      </c>
      <c r="E122" s="163"/>
      <c r="F122" s="163"/>
      <c r="G122" s="163">
        <f>G123</f>
        <v>85036</v>
      </c>
      <c r="H122" s="163"/>
      <c r="I122" s="2"/>
    </row>
    <row r="123" spans="1:9" ht="19.5" customHeight="1">
      <c r="A123" s="16"/>
      <c r="B123" s="16"/>
      <c r="C123" s="23">
        <v>4300</v>
      </c>
      <c r="D123" s="23" t="s">
        <v>336</v>
      </c>
      <c r="E123" s="15"/>
      <c r="F123" s="15"/>
      <c r="G123" s="15">
        <v>85036</v>
      </c>
      <c r="H123" s="15"/>
      <c r="I123" s="2"/>
    </row>
    <row r="124" spans="1:9" ht="19.5" customHeight="1">
      <c r="A124" s="13"/>
      <c r="B124" s="13"/>
      <c r="C124" s="13"/>
      <c r="D124" s="246" t="s">
        <v>211</v>
      </c>
      <c r="E124" s="100"/>
      <c r="F124" s="100"/>
      <c r="G124" s="100">
        <f>G125</f>
        <v>9000</v>
      </c>
      <c r="H124" s="100"/>
      <c r="I124" s="2"/>
    </row>
    <row r="125" spans="1:9" ht="19.5" customHeight="1">
      <c r="A125" s="16"/>
      <c r="B125" s="13"/>
      <c r="C125" s="23">
        <v>4110</v>
      </c>
      <c r="D125" s="23" t="s">
        <v>338</v>
      </c>
      <c r="E125" s="15"/>
      <c r="F125" s="15"/>
      <c r="G125" s="15">
        <v>9000</v>
      </c>
      <c r="H125" s="15"/>
      <c r="I125" s="2"/>
    </row>
    <row r="126" spans="1:9" ht="19.5" customHeight="1">
      <c r="A126" s="13"/>
      <c r="B126" s="13"/>
      <c r="C126" s="13"/>
      <c r="D126" s="336" t="s">
        <v>461</v>
      </c>
      <c r="E126" s="321"/>
      <c r="F126" s="321"/>
      <c r="G126" s="14">
        <f>G136</f>
        <v>85000</v>
      </c>
      <c r="H126" s="14">
        <f>H136</f>
        <v>85000</v>
      </c>
      <c r="I126" s="2"/>
    </row>
    <row r="127" spans="1:9" ht="19.5" customHeight="1">
      <c r="A127" s="13"/>
      <c r="B127" s="13"/>
      <c r="C127" s="13"/>
      <c r="D127" s="439" t="s">
        <v>462</v>
      </c>
      <c r="E127" s="454"/>
      <c r="F127" s="454"/>
      <c r="G127" s="454"/>
      <c r="H127" s="454">
        <v>45000</v>
      </c>
      <c r="I127" s="2"/>
    </row>
    <row r="128" spans="1:9" ht="26.25" customHeight="1">
      <c r="A128" s="13"/>
      <c r="B128" s="13"/>
      <c r="C128" s="13"/>
      <c r="D128" s="569" t="s">
        <v>463</v>
      </c>
      <c r="E128" s="542"/>
      <c r="F128" s="542"/>
      <c r="G128" s="542"/>
      <c r="H128" s="542">
        <v>10000</v>
      </c>
      <c r="I128" s="2"/>
    </row>
    <row r="129" spans="1:9" ht="27.75" customHeight="1">
      <c r="A129" s="13"/>
      <c r="B129" s="13"/>
      <c r="C129" s="13"/>
      <c r="D129" s="569" t="s">
        <v>464</v>
      </c>
      <c r="E129" s="542"/>
      <c r="F129" s="542"/>
      <c r="G129" s="542"/>
      <c r="H129" s="542">
        <v>30000</v>
      </c>
      <c r="I129" s="2"/>
    </row>
    <row r="130" spans="1:9" ht="26.25" customHeight="1">
      <c r="A130" s="13"/>
      <c r="B130" s="13"/>
      <c r="C130" s="13"/>
      <c r="D130" s="569" t="s">
        <v>465</v>
      </c>
      <c r="E130" s="542"/>
      <c r="F130" s="542"/>
      <c r="G130" s="542">
        <v>10000</v>
      </c>
      <c r="H130" s="542"/>
      <c r="I130" s="2"/>
    </row>
    <row r="131" spans="1:9" ht="26.25" customHeight="1">
      <c r="A131" s="29"/>
      <c r="B131" s="29"/>
      <c r="C131" s="29"/>
      <c r="D131" s="707" t="s">
        <v>466</v>
      </c>
      <c r="E131" s="498"/>
      <c r="F131" s="498"/>
      <c r="G131" s="498">
        <v>10000</v>
      </c>
      <c r="H131" s="498"/>
      <c r="I131" s="2"/>
    </row>
    <row r="132" spans="1:9" ht="39" customHeight="1">
      <c r="A132" s="13"/>
      <c r="B132" s="13"/>
      <c r="C132" s="13"/>
      <c r="D132" s="706" t="s">
        <v>467</v>
      </c>
      <c r="E132" s="564"/>
      <c r="F132" s="564"/>
      <c r="G132" s="564">
        <v>10000</v>
      </c>
      <c r="H132" s="564"/>
      <c r="I132" s="2"/>
    </row>
    <row r="133" spans="1:9" ht="41.25" customHeight="1">
      <c r="A133" s="13"/>
      <c r="B133" s="13"/>
      <c r="C133" s="13"/>
      <c r="D133" s="438" t="s">
        <v>468</v>
      </c>
      <c r="E133" s="542"/>
      <c r="F133" s="542"/>
      <c r="G133" s="542">
        <v>30000</v>
      </c>
      <c r="H133" s="542"/>
      <c r="I133" s="2"/>
    </row>
    <row r="134" spans="1:9" ht="26.25" customHeight="1">
      <c r="A134" s="13"/>
      <c r="B134" s="13"/>
      <c r="C134" s="13"/>
      <c r="D134" s="569" t="s">
        <v>469</v>
      </c>
      <c r="E134" s="542"/>
      <c r="F134" s="542"/>
      <c r="G134" s="542">
        <v>5000</v>
      </c>
      <c r="H134" s="542"/>
      <c r="I134" s="2"/>
    </row>
    <row r="135" spans="1:9" ht="26.25" customHeight="1">
      <c r="A135" s="13"/>
      <c r="B135" s="13"/>
      <c r="C135" s="13"/>
      <c r="D135" s="438" t="s">
        <v>470</v>
      </c>
      <c r="E135" s="542"/>
      <c r="F135" s="542"/>
      <c r="G135" s="542">
        <v>20000</v>
      </c>
      <c r="H135" s="542"/>
      <c r="I135" s="2"/>
    </row>
    <row r="136" spans="1:9" ht="19.5" customHeight="1">
      <c r="A136" s="13"/>
      <c r="B136" s="13"/>
      <c r="C136" s="23">
        <v>2540</v>
      </c>
      <c r="D136" s="12" t="s">
        <v>471</v>
      </c>
      <c r="E136" s="498"/>
      <c r="F136" s="498"/>
      <c r="G136" s="498">
        <f>SUM(G127:G135)</f>
        <v>85000</v>
      </c>
      <c r="H136" s="498">
        <f>SUM(H127:H135)</f>
        <v>85000</v>
      </c>
      <c r="I136" s="2"/>
    </row>
    <row r="137" spans="1:9" ht="19.5" customHeight="1">
      <c r="A137" s="13"/>
      <c r="B137" s="10">
        <v>80145</v>
      </c>
      <c r="C137" s="10"/>
      <c r="D137" s="11" t="s">
        <v>206</v>
      </c>
      <c r="E137" s="244"/>
      <c r="F137" s="244"/>
      <c r="G137" s="244">
        <f>G138</f>
        <v>955</v>
      </c>
      <c r="H137" s="244"/>
      <c r="I137" s="2"/>
    </row>
    <row r="138" spans="1:9" ht="19.5" customHeight="1">
      <c r="A138" s="13"/>
      <c r="B138" s="13"/>
      <c r="C138" s="13"/>
      <c r="D138" s="248" t="s">
        <v>207</v>
      </c>
      <c r="E138" s="163"/>
      <c r="F138" s="163"/>
      <c r="G138" s="163">
        <f>G139</f>
        <v>955</v>
      </c>
      <c r="H138" s="163"/>
      <c r="I138" s="2"/>
    </row>
    <row r="139" spans="1:9" ht="19.5" customHeight="1">
      <c r="A139" s="16"/>
      <c r="B139" s="23"/>
      <c r="C139" s="23">
        <v>4300</v>
      </c>
      <c r="D139" s="23" t="s">
        <v>336</v>
      </c>
      <c r="E139" s="15"/>
      <c r="F139" s="15"/>
      <c r="G139" s="15">
        <v>955</v>
      </c>
      <c r="H139" s="15"/>
      <c r="I139" s="2"/>
    </row>
    <row r="140" spans="1:9" ht="19.5" customHeight="1">
      <c r="A140" s="13"/>
      <c r="B140" s="10">
        <v>80195</v>
      </c>
      <c r="C140" s="10"/>
      <c r="D140" s="10" t="s">
        <v>235</v>
      </c>
      <c r="E140" s="15"/>
      <c r="F140" s="15"/>
      <c r="G140" s="15"/>
      <c r="H140" s="244">
        <f>H141</f>
        <v>880</v>
      </c>
      <c r="I140" s="2"/>
    </row>
    <row r="141" spans="1:9" ht="26.25" customHeight="1">
      <c r="A141" s="13"/>
      <c r="B141" s="13"/>
      <c r="C141" s="13"/>
      <c r="D141" s="38" t="s">
        <v>440</v>
      </c>
      <c r="E141" s="321"/>
      <c r="F141" s="321"/>
      <c r="G141" s="321"/>
      <c r="H141" s="14">
        <f>H145</f>
        <v>880</v>
      </c>
      <c r="I141" s="2"/>
    </row>
    <row r="142" spans="1:9" ht="26.25" customHeight="1">
      <c r="A142" s="13"/>
      <c r="B142" s="13"/>
      <c r="C142" s="13"/>
      <c r="D142" s="540" t="s">
        <v>443</v>
      </c>
      <c r="E142" s="454"/>
      <c r="F142" s="454"/>
      <c r="G142" s="454"/>
      <c r="H142" s="454">
        <v>147</v>
      </c>
      <c r="I142" s="2"/>
    </row>
    <row r="143" spans="1:9" ht="26.25" customHeight="1">
      <c r="A143" s="13"/>
      <c r="B143" s="13"/>
      <c r="C143" s="13"/>
      <c r="D143" s="541" t="s">
        <v>444</v>
      </c>
      <c r="E143" s="542"/>
      <c r="F143" s="542"/>
      <c r="G143" s="542"/>
      <c r="H143" s="542">
        <v>586</v>
      </c>
      <c r="I143" s="2"/>
    </row>
    <row r="144" spans="1:9" ht="26.25" customHeight="1">
      <c r="A144" s="13"/>
      <c r="B144" s="13"/>
      <c r="C144" s="13"/>
      <c r="D144" s="541" t="s">
        <v>829</v>
      </c>
      <c r="E144" s="542"/>
      <c r="F144" s="542"/>
      <c r="G144" s="542"/>
      <c r="H144" s="542">
        <v>147</v>
      </c>
      <c r="I144" s="2"/>
    </row>
    <row r="145" spans="1:9" ht="27" customHeight="1">
      <c r="A145" s="29"/>
      <c r="B145" s="29"/>
      <c r="C145" s="23">
        <v>2590</v>
      </c>
      <c r="D145" s="12" t="s">
        <v>442</v>
      </c>
      <c r="E145" s="498"/>
      <c r="F145" s="498"/>
      <c r="G145" s="498"/>
      <c r="H145" s="498">
        <f>SUM(H142:H144)</f>
        <v>880</v>
      </c>
      <c r="I145" s="2"/>
    </row>
    <row r="146" spans="1:9" ht="19.5" customHeight="1">
      <c r="A146" s="8">
        <v>854</v>
      </c>
      <c r="B146" s="8"/>
      <c r="C146" s="8"/>
      <c r="D146" s="8" t="s">
        <v>280</v>
      </c>
      <c r="E146" s="9"/>
      <c r="F146" s="9"/>
      <c r="G146" s="9">
        <f>G147+G150+G153+G156</f>
        <v>50500</v>
      </c>
      <c r="H146" s="9"/>
      <c r="I146" s="2"/>
    </row>
    <row r="147" spans="1:9" ht="19.5" customHeight="1">
      <c r="A147" s="13"/>
      <c r="B147" s="10">
        <v>85404</v>
      </c>
      <c r="C147" s="10"/>
      <c r="D147" s="11" t="s">
        <v>429</v>
      </c>
      <c r="E147" s="244"/>
      <c r="F147" s="244"/>
      <c r="G147" s="244">
        <f>G148</f>
        <v>10000</v>
      </c>
      <c r="H147" s="244"/>
      <c r="I147" s="2"/>
    </row>
    <row r="148" spans="1:9" ht="19.5" customHeight="1">
      <c r="A148" s="13"/>
      <c r="B148" s="13"/>
      <c r="C148" s="13"/>
      <c r="D148" s="248" t="s">
        <v>304</v>
      </c>
      <c r="E148" s="163"/>
      <c r="F148" s="163"/>
      <c r="G148" s="163">
        <f>G149</f>
        <v>10000</v>
      </c>
      <c r="H148" s="163"/>
      <c r="I148" s="2"/>
    </row>
    <row r="149" spans="1:9" ht="19.5" customHeight="1">
      <c r="A149" s="16"/>
      <c r="B149" s="16"/>
      <c r="C149" s="23">
        <v>4260</v>
      </c>
      <c r="D149" s="23" t="s">
        <v>392</v>
      </c>
      <c r="E149" s="15"/>
      <c r="F149" s="15"/>
      <c r="G149" s="15">
        <v>10000</v>
      </c>
      <c r="H149" s="15"/>
      <c r="I149" s="2"/>
    </row>
    <row r="150" spans="1:9" ht="19.5" customHeight="1">
      <c r="A150" s="13"/>
      <c r="B150" s="10">
        <v>85410</v>
      </c>
      <c r="C150" s="10"/>
      <c r="D150" s="11" t="s">
        <v>458</v>
      </c>
      <c r="E150" s="244"/>
      <c r="F150" s="244"/>
      <c r="G150" s="244">
        <f>G151</f>
        <v>30000</v>
      </c>
      <c r="H150" s="244"/>
      <c r="I150" s="2"/>
    </row>
    <row r="151" spans="1:9" ht="19.5" customHeight="1">
      <c r="A151" s="13"/>
      <c r="B151" s="13"/>
      <c r="C151" s="13"/>
      <c r="D151" s="248" t="s">
        <v>304</v>
      </c>
      <c r="E151" s="163"/>
      <c r="F151" s="163"/>
      <c r="G151" s="163">
        <f>G152</f>
        <v>30000</v>
      </c>
      <c r="H151" s="163"/>
      <c r="I151" s="2"/>
    </row>
    <row r="152" spans="1:9" ht="19.5" customHeight="1">
      <c r="A152" s="16"/>
      <c r="B152" s="16"/>
      <c r="C152" s="23">
        <v>4260</v>
      </c>
      <c r="D152" s="23" t="s">
        <v>392</v>
      </c>
      <c r="E152" s="15"/>
      <c r="F152" s="15"/>
      <c r="G152" s="15">
        <v>30000</v>
      </c>
      <c r="H152" s="15"/>
      <c r="I152" s="2"/>
    </row>
    <row r="153" spans="1:9" ht="19.5" customHeight="1">
      <c r="A153" s="13"/>
      <c r="B153" s="10">
        <v>85417</v>
      </c>
      <c r="C153" s="10"/>
      <c r="D153" s="11" t="s">
        <v>459</v>
      </c>
      <c r="E153" s="244"/>
      <c r="F153" s="244"/>
      <c r="G153" s="244">
        <f>G154</f>
        <v>8000</v>
      </c>
      <c r="H153" s="244"/>
      <c r="I153" s="2"/>
    </row>
    <row r="154" spans="1:9" ht="19.5" customHeight="1">
      <c r="A154" s="13"/>
      <c r="B154" s="13"/>
      <c r="C154" s="13"/>
      <c r="D154" s="248" t="s">
        <v>304</v>
      </c>
      <c r="E154" s="163"/>
      <c r="F154" s="163"/>
      <c r="G154" s="163">
        <f>G155</f>
        <v>8000</v>
      </c>
      <c r="H154" s="163"/>
      <c r="I154" s="2"/>
    </row>
    <row r="155" spans="1:9" ht="19.5" customHeight="1">
      <c r="A155" s="23"/>
      <c r="B155" s="23"/>
      <c r="C155" s="23">
        <v>4260</v>
      </c>
      <c r="D155" s="23" t="s">
        <v>392</v>
      </c>
      <c r="E155" s="15"/>
      <c r="F155" s="15"/>
      <c r="G155" s="15">
        <v>8000</v>
      </c>
      <c r="H155" s="15"/>
      <c r="I155" s="2"/>
    </row>
    <row r="156" spans="1:9" ht="19.5" customHeight="1">
      <c r="A156" s="13"/>
      <c r="B156" s="70">
        <v>85495</v>
      </c>
      <c r="C156" s="70"/>
      <c r="D156" s="217" t="s">
        <v>235</v>
      </c>
      <c r="E156" s="244"/>
      <c r="F156" s="244"/>
      <c r="G156" s="244">
        <f>G157</f>
        <v>2500</v>
      </c>
      <c r="H156" s="244"/>
      <c r="I156" s="2"/>
    </row>
    <row r="157" spans="1:9" ht="19.5" customHeight="1">
      <c r="A157" s="16"/>
      <c r="B157" s="16"/>
      <c r="C157" s="16"/>
      <c r="D157" s="567" t="s">
        <v>472</v>
      </c>
      <c r="E157" s="349"/>
      <c r="F157" s="349"/>
      <c r="G157" s="349">
        <f>G158</f>
        <v>2500</v>
      </c>
      <c r="H157" s="349"/>
      <c r="I157" s="2"/>
    </row>
    <row r="158" spans="1:9" ht="19.5" customHeight="1">
      <c r="A158" s="16"/>
      <c r="B158" s="16"/>
      <c r="C158" s="13"/>
      <c r="D158" s="246" t="s">
        <v>211</v>
      </c>
      <c r="E158" s="163"/>
      <c r="F158" s="163"/>
      <c r="G158" s="163">
        <f>G159</f>
        <v>2500</v>
      </c>
      <c r="H158" s="163"/>
      <c r="I158" s="2"/>
    </row>
    <row r="159" spans="1:9" ht="19.5" customHeight="1">
      <c r="A159" s="16"/>
      <c r="B159" s="16"/>
      <c r="C159" s="23">
        <v>4120</v>
      </c>
      <c r="D159" s="23" t="s">
        <v>339</v>
      </c>
      <c r="E159" s="15"/>
      <c r="F159" s="15"/>
      <c r="G159" s="15">
        <v>2500</v>
      </c>
      <c r="H159" s="15"/>
      <c r="I159" s="2"/>
    </row>
    <row r="160" spans="1:9" ht="21" customHeight="1">
      <c r="A160" s="13"/>
      <c r="B160" s="13"/>
      <c r="C160" s="16"/>
      <c r="D160" s="232" t="s">
        <v>432</v>
      </c>
      <c r="E160" s="232"/>
      <c r="F160" s="232"/>
      <c r="G160" s="233">
        <f>G161+G191</f>
        <v>109000</v>
      </c>
      <c r="H160" s="233">
        <f>H161+H191</f>
        <v>112000</v>
      </c>
      <c r="I160" s="2"/>
    </row>
    <row r="161" spans="1:8" ht="21" customHeight="1" thickBot="1">
      <c r="A161" s="5"/>
      <c r="B161" s="5"/>
      <c r="C161" s="5"/>
      <c r="D161" s="6" t="s">
        <v>334</v>
      </c>
      <c r="E161" s="7"/>
      <c r="F161" s="7"/>
      <c r="G161" s="7">
        <f>G173+G182+G162</f>
        <v>109000</v>
      </c>
      <c r="H161" s="7">
        <f>H173+H182+H162</f>
        <v>100000</v>
      </c>
    </row>
    <row r="162" spans="1:8" ht="21" customHeight="1" thickTop="1">
      <c r="A162" s="8">
        <v>700</v>
      </c>
      <c r="B162" s="8"/>
      <c r="C162" s="8"/>
      <c r="D162" s="8" t="s">
        <v>818</v>
      </c>
      <c r="E162" s="105"/>
      <c r="F162" s="105"/>
      <c r="G162" s="105">
        <f>G163</f>
        <v>80000</v>
      </c>
      <c r="H162" s="105">
        <f>H163</f>
        <v>80000</v>
      </c>
    </row>
    <row r="163" spans="1:8" ht="21" customHeight="1">
      <c r="A163" s="13"/>
      <c r="B163" s="10">
        <v>70001</v>
      </c>
      <c r="C163" s="10"/>
      <c r="D163" s="10" t="s">
        <v>811</v>
      </c>
      <c r="E163" s="244"/>
      <c r="F163" s="244"/>
      <c r="G163" s="244">
        <f>G164</f>
        <v>80000</v>
      </c>
      <c r="H163" s="244">
        <f>H164</f>
        <v>80000</v>
      </c>
    </row>
    <row r="164" spans="1:8" ht="21" customHeight="1">
      <c r="A164" s="13"/>
      <c r="B164" s="13"/>
      <c r="C164" s="13"/>
      <c r="D164" s="38" t="s">
        <v>820</v>
      </c>
      <c r="E164" s="729"/>
      <c r="F164" s="729"/>
      <c r="G164" s="729">
        <f>G172</f>
        <v>80000</v>
      </c>
      <c r="H164" s="729">
        <f>H172</f>
        <v>80000</v>
      </c>
    </row>
    <row r="165" spans="1:8" ht="21" customHeight="1">
      <c r="A165" s="13"/>
      <c r="B165" s="13"/>
      <c r="C165" s="13"/>
      <c r="D165" s="718" t="s">
        <v>812</v>
      </c>
      <c r="E165" s="723"/>
      <c r="F165" s="723"/>
      <c r="G165" s="723">
        <f>G166</f>
        <v>40000</v>
      </c>
      <c r="H165" s="723"/>
    </row>
    <row r="166" spans="1:8" ht="21" customHeight="1">
      <c r="A166" s="13"/>
      <c r="B166" s="13"/>
      <c r="C166" s="13"/>
      <c r="D166" s="716" t="s">
        <v>813</v>
      </c>
      <c r="E166" s="722"/>
      <c r="F166" s="722"/>
      <c r="G166" s="722">
        <f>G167</f>
        <v>40000</v>
      </c>
      <c r="H166" s="722"/>
    </row>
    <row r="167" spans="1:8" ht="21" customHeight="1">
      <c r="A167" s="13"/>
      <c r="B167" s="13"/>
      <c r="C167" s="13"/>
      <c r="D167" s="339" t="s">
        <v>814</v>
      </c>
      <c r="E167" s="720"/>
      <c r="F167" s="720"/>
      <c r="G167" s="720">
        <v>40000</v>
      </c>
      <c r="H167" s="720"/>
    </row>
    <row r="168" spans="1:8" ht="21" customHeight="1">
      <c r="A168" s="13"/>
      <c r="B168" s="13"/>
      <c r="C168" s="13"/>
      <c r="D168" s="719" t="s">
        <v>815</v>
      </c>
      <c r="E168" s="721"/>
      <c r="F168" s="721"/>
      <c r="G168" s="721">
        <f>G169</f>
        <v>40000</v>
      </c>
      <c r="H168" s="721">
        <f>H169</f>
        <v>80000</v>
      </c>
    </row>
    <row r="169" spans="1:8" ht="21" customHeight="1">
      <c r="A169" s="13"/>
      <c r="B169" s="13"/>
      <c r="C169" s="13"/>
      <c r="D169" s="716" t="s">
        <v>813</v>
      </c>
      <c r="E169" s="722"/>
      <c r="F169" s="722"/>
      <c r="G169" s="722">
        <f>SUM(G170:G171)</f>
        <v>40000</v>
      </c>
      <c r="H169" s="722">
        <f>SUM(H170:H171)</f>
        <v>80000</v>
      </c>
    </row>
    <row r="170" spans="1:8" ht="21" customHeight="1">
      <c r="A170" s="13"/>
      <c r="B170" s="13"/>
      <c r="C170" s="13"/>
      <c r="D170" s="336" t="s">
        <v>816</v>
      </c>
      <c r="E170" s="720"/>
      <c r="F170" s="720"/>
      <c r="G170" s="720"/>
      <c r="H170" s="720">
        <v>80000</v>
      </c>
    </row>
    <row r="171" spans="1:8" ht="21" customHeight="1">
      <c r="A171" s="13"/>
      <c r="B171" s="13"/>
      <c r="C171" s="13"/>
      <c r="D171" s="698" t="s">
        <v>817</v>
      </c>
      <c r="E171" s="728"/>
      <c r="F171" s="728"/>
      <c r="G171" s="728">
        <v>40000</v>
      </c>
      <c r="H171" s="728"/>
    </row>
    <row r="172" spans="1:8" ht="21" customHeight="1">
      <c r="A172" s="29"/>
      <c r="B172" s="29"/>
      <c r="C172" s="21">
        <v>2650</v>
      </c>
      <c r="D172" s="12" t="s">
        <v>819</v>
      </c>
      <c r="E172" s="727"/>
      <c r="F172" s="727"/>
      <c r="G172" s="562">
        <f>G165+G168</f>
        <v>80000</v>
      </c>
      <c r="H172" s="562">
        <f>H165+H168</f>
        <v>80000</v>
      </c>
    </row>
    <row r="173" spans="1:9" ht="19.5" customHeight="1">
      <c r="A173" s="8">
        <v>851</v>
      </c>
      <c r="B173" s="8"/>
      <c r="C173" s="8"/>
      <c r="D173" s="8" t="s">
        <v>337</v>
      </c>
      <c r="E173" s="9"/>
      <c r="F173" s="9"/>
      <c r="G173" s="9">
        <f>G174</f>
        <v>14000</v>
      </c>
      <c r="H173" s="9">
        <f>H174</f>
        <v>5000</v>
      </c>
      <c r="I173" s="2"/>
    </row>
    <row r="174" spans="1:9" ht="19.5" customHeight="1">
      <c r="A174" s="34"/>
      <c r="B174" s="70">
        <v>85154</v>
      </c>
      <c r="C174" s="70"/>
      <c r="D174" s="70" t="s">
        <v>359</v>
      </c>
      <c r="E174" s="244"/>
      <c r="F174" s="244"/>
      <c r="G174" s="244">
        <f>G175</f>
        <v>14000</v>
      </c>
      <c r="H174" s="244">
        <f>H175</f>
        <v>5000</v>
      </c>
      <c r="I174" s="2"/>
    </row>
    <row r="175" spans="1:9" ht="26.25" customHeight="1">
      <c r="A175" s="13"/>
      <c r="B175" s="85"/>
      <c r="C175" s="85"/>
      <c r="D175" s="338" t="s">
        <v>383</v>
      </c>
      <c r="E175" s="349"/>
      <c r="F175" s="349"/>
      <c r="G175" s="349">
        <f>G176+G178</f>
        <v>14000</v>
      </c>
      <c r="H175" s="349">
        <f>H176+H178</f>
        <v>5000</v>
      </c>
      <c r="I175" s="2"/>
    </row>
    <row r="176" spans="1:9" ht="25.5" customHeight="1">
      <c r="A176" s="13"/>
      <c r="B176" s="13"/>
      <c r="C176" s="13"/>
      <c r="D176" s="336" t="s">
        <v>384</v>
      </c>
      <c r="E176" s="500"/>
      <c r="F176" s="500"/>
      <c r="G176" s="500">
        <f>G177</f>
        <v>9000</v>
      </c>
      <c r="H176" s="500"/>
      <c r="I176" s="2"/>
    </row>
    <row r="177" spans="1:9" ht="18.75" customHeight="1">
      <c r="A177" s="13"/>
      <c r="B177" s="13"/>
      <c r="C177" s="23">
        <v>4300</v>
      </c>
      <c r="D177" s="23" t="s">
        <v>336</v>
      </c>
      <c r="E177" s="15"/>
      <c r="F177" s="15"/>
      <c r="G177" s="15">
        <v>9000</v>
      </c>
      <c r="H177" s="15"/>
      <c r="I177" s="2"/>
    </row>
    <row r="178" spans="1:9" ht="18.75" customHeight="1">
      <c r="A178" s="13"/>
      <c r="B178" s="13"/>
      <c r="C178" s="13"/>
      <c r="D178" s="336" t="s">
        <v>386</v>
      </c>
      <c r="E178" s="20"/>
      <c r="F178" s="20"/>
      <c r="G178" s="20">
        <f>SUM(G179:G180)</f>
        <v>5000</v>
      </c>
      <c r="H178" s="20">
        <f>SUM(H179:H180)</f>
        <v>5000</v>
      </c>
      <c r="I178" s="2"/>
    </row>
    <row r="179" spans="1:9" ht="18.75" customHeight="1">
      <c r="A179" s="13"/>
      <c r="B179" s="13"/>
      <c r="C179" s="23">
        <v>4410</v>
      </c>
      <c r="D179" s="12" t="s">
        <v>380</v>
      </c>
      <c r="E179" s="19"/>
      <c r="F179" s="19"/>
      <c r="G179" s="19"/>
      <c r="H179" s="19">
        <v>5000</v>
      </c>
      <c r="I179" s="2"/>
    </row>
    <row r="180" spans="1:9" ht="18.75" customHeight="1">
      <c r="A180" s="29"/>
      <c r="B180" s="29"/>
      <c r="C180" s="21">
        <v>4420</v>
      </c>
      <c r="D180" s="12" t="s">
        <v>381</v>
      </c>
      <c r="E180" s="19"/>
      <c r="F180" s="19"/>
      <c r="G180" s="19">
        <v>5000</v>
      </c>
      <c r="H180" s="19"/>
      <c r="I180" s="2"/>
    </row>
    <row r="181" spans="1:9" ht="27.75" customHeight="1">
      <c r="A181" s="558"/>
      <c r="B181" s="558"/>
      <c r="C181" s="732"/>
      <c r="D181" s="554"/>
      <c r="E181" s="559"/>
      <c r="F181" s="559"/>
      <c r="G181" s="559"/>
      <c r="H181" s="559"/>
      <c r="I181" s="2"/>
    </row>
    <row r="182" spans="1:8" s="27" customFormat="1" ht="19.5" customHeight="1">
      <c r="A182" s="8">
        <v>921</v>
      </c>
      <c r="B182" s="8"/>
      <c r="C182" s="55"/>
      <c r="D182" s="56" t="s">
        <v>251</v>
      </c>
      <c r="E182" s="57"/>
      <c r="F182" s="57"/>
      <c r="G182" s="57">
        <f>G183</f>
        <v>15000</v>
      </c>
      <c r="H182" s="57">
        <f>H183</f>
        <v>15000</v>
      </c>
    </row>
    <row r="183" spans="1:8" s="72" customFormat="1" ht="19.5" customHeight="1">
      <c r="A183" s="13"/>
      <c r="B183" s="10">
        <v>92105</v>
      </c>
      <c r="C183" s="22"/>
      <c r="D183" s="11" t="s">
        <v>252</v>
      </c>
      <c r="E183" s="18"/>
      <c r="F183" s="18"/>
      <c r="G183" s="18">
        <f>G184+G187+G189</f>
        <v>15000</v>
      </c>
      <c r="H183" s="18">
        <f>H184+H187+H189</f>
        <v>15000</v>
      </c>
    </row>
    <row r="184" spans="1:8" s="72" customFormat="1" ht="18.75" customHeight="1">
      <c r="A184" s="13"/>
      <c r="B184" s="34"/>
      <c r="C184" s="73"/>
      <c r="D184" s="86" t="s">
        <v>322</v>
      </c>
      <c r="E184" s="96"/>
      <c r="F184" s="96"/>
      <c r="G184" s="96"/>
      <c r="H184" s="96">
        <f>H185</f>
        <v>14000</v>
      </c>
    </row>
    <row r="185" spans="1:8" s="72" customFormat="1" ht="18.75" customHeight="1">
      <c r="A185" s="13"/>
      <c r="B185" s="34"/>
      <c r="C185" s="73"/>
      <c r="D185" s="339" t="s">
        <v>373</v>
      </c>
      <c r="E185" s="20"/>
      <c r="F185" s="20"/>
      <c r="G185" s="20"/>
      <c r="H185" s="20">
        <f>H186</f>
        <v>14000</v>
      </c>
    </row>
    <row r="186" spans="1:8" s="72" customFormat="1" ht="18.75" customHeight="1">
      <c r="A186" s="13"/>
      <c r="B186" s="34"/>
      <c r="C186" s="21">
        <v>4300</v>
      </c>
      <c r="D186" s="12" t="s">
        <v>336</v>
      </c>
      <c r="E186" s="19"/>
      <c r="F186" s="19"/>
      <c r="G186" s="19"/>
      <c r="H186" s="19">
        <f>15000-1000</f>
        <v>14000</v>
      </c>
    </row>
    <row r="187" spans="1:8" s="72" customFormat="1" ht="18.75" customHeight="1">
      <c r="A187" s="13"/>
      <c r="B187" s="34"/>
      <c r="C187" s="73"/>
      <c r="D187" s="338" t="s">
        <v>374</v>
      </c>
      <c r="E187" s="97"/>
      <c r="F187" s="97"/>
      <c r="G187" s="97"/>
      <c r="H187" s="97">
        <f>H188</f>
        <v>1000</v>
      </c>
    </row>
    <row r="188" spans="1:8" s="72" customFormat="1" ht="18.75" customHeight="1">
      <c r="A188" s="13"/>
      <c r="B188" s="34"/>
      <c r="C188" s="21">
        <v>3240</v>
      </c>
      <c r="D188" s="12" t="s">
        <v>375</v>
      </c>
      <c r="E188" s="19"/>
      <c r="F188" s="19"/>
      <c r="G188" s="19"/>
      <c r="H188" s="19">
        <v>1000</v>
      </c>
    </row>
    <row r="189" spans="1:8" s="72" customFormat="1" ht="18.75" customHeight="1">
      <c r="A189" s="13"/>
      <c r="B189" s="34"/>
      <c r="C189" s="73"/>
      <c r="D189" s="338" t="s">
        <v>376</v>
      </c>
      <c r="E189" s="97"/>
      <c r="F189" s="97"/>
      <c r="G189" s="97">
        <f>G190</f>
        <v>15000</v>
      </c>
      <c r="H189" s="97"/>
    </row>
    <row r="190" spans="1:8" s="72" customFormat="1" ht="18.75" customHeight="1">
      <c r="A190" s="13"/>
      <c r="B190" s="34"/>
      <c r="C190" s="21">
        <v>3020</v>
      </c>
      <c r="D190" s="12" t="s">
        <v>377</v>
      </c>
      <c r="E190" s="19"/>
      <c r="F190" s="19"/>
      <c r="G190" s="19">
        <v>15000</v>
      </c>
      <c r="H190" s="19"/>
    </row>
    <row r="191" spans="1:8" ht="21.75" customHeight="1" thickBot="1">
      <c r="A191" s="5"/>
      <c r="B191" s="5"/>
      <c r="C191" s="5"/>
      <c r="D191" s="74" t="s">
        <v>292</v>
      </c>
      <c r="E191" s="7"/>
      <c r="F191" s="7"/>
      <c r="G191" s="7"/>
      <c r="H191" s="7">
        <f>H192</f>
        <v>12000</v>
      </c>
    </row>
    <row r="192" spans="1:9" ht="19.5" customHeight="1" thickTop="1">
      <c r="A192" s="382">
        <v>853</v>
      </c>
      <c r="B192" s="8"/>
      <c r="C192" s="55"/>
      <c r="D192" s="56" t="s">
        <v>216</v>
      </c>
      <c r="E192" s="9"/>
      <c r="F192" s="9"/>
      <c r="G192" s="9"/>
      <c r="H192" s="9">
        <f>H193</f>
        <v>12000</v>
      </c>
      <c r="I192" s="2"/>
    </row>
    <row r="193" spans="1:9" ht="19.5" customHeight="1">
      <c r="A193" s="85"/>
      <c r="B193" s="10">
        <v>85321</v>
      </c>
      <c r="C193" s="10"/>
      <c r="D193" s="10" t="s">
        <v>397</v>
      </c>
      <c r="E193" s="244"/>
      <c r="F193" s="244"/>
      <c r="G193" s="244"/>
      <c r="H193" s="244">
        <f>H194</f>
        <v>12000</v>
      </c>
      <c r="I193" s="2"/>
    </row>
    <row r="194" spans="1:9" ht="18.75" customHeight="1">
      <c r="A194" s="13"/>
      <c r="B194" s="13"/>
      <c r="C194" s="13"/>
      <c r="D194" s="38" t="s">
        <v>399</v>
      </c>
      <c r="E194" s="163"/>
      <c r="F194" s="163"/>
      <c r="G194" s="163"/>
      <c r="H194" s="163">
        <f>H195</f>
        <v>12000</v>
      </c>
      <c r="I194" s="2"/>
    </row>
    <row r="195" spans="1:9" ht="18.75" customHeight="1">
      <c r="A195" s="13"/>
      <c r="B195" s="13"/>
      <c r="C195" s="23">
        <v>4300</v>
      </c>
      <c r="D195" s="23" t="s">
        <v>336</v>
      </c>
      <c r="E195" s="15"/>
      <c r="F195" s="15"/>
      <c r="G195" s="15"/>
      <c r="H195" s="15">
        <v>12000</v>
      </c>
      <c r="I195" s="2"/>
    </row>
    <row r="196" spans="1:9" s="27" customFormat="1" ht="19.5" customHeight="1">
      <c r="A196" s="239"/>
      <c r="B196" s="240"/>
      <c r="C196" s="240"/>
      <c r="D196" s="232" t="s">
        <v>433</v>
      </c>
      <c r="E196" s="233"/>
      <c r="F196" s="233"/>
      <c r="G196" s="233">
        <f>G197</f>
        <v>400000</v>
      </c>
      <c r="H196" s="233">
        <f>H197</f>
        <v>670000</v>
      </c>
      <c r="I196" s="33"/>
    </row>
    <row r="197" spans="1:9" s="27" customFormat="1" ht="19.5" customHeight="1" thickBot="1">
      <c r="A197" s="29"/>
      <c r="B197" s="29"/>
      <c r="C197" s="29"/>
      <c r="D197" s="6" t="s">
        <v>260</v>
      </c>
      <c r="E197" s="7"/>
      <c r="F197" s="7"/>
      <c r="G197" s="7">
        <f>G202+G209+G198</f>
        <v>400000</v>
      </c>
      <c r="H197" s="7">
        <f>H202+H209+H198</f>
        <v>670000</v>
      </c>
      <c r="I197" s="33"/>
    </row>
    <row r="198" spans="1:9" s="27" customFormat="1" ht="19.5" customHeight="1" thickTop="1">
      <c r="A198" s="95">
        <v>754</v>
      </c>
      <c r="B198" s="95"/>
      <c r="C198" s="95"/>
      <c r="D198" s="95" t="s">
        <v>127</v>
      </c>
      <c r="E198" s="9"/>
      <c r="F198" s="9"/>
      <c r="G198" s="9">
        <f>G199</f>
        <v>400000</v>
      </c>
      <c r="H198" s="9"/>
      <c r="I198" s="33"/>
    </row>
    <row r="199" spans="1:9" s="27" customFormat="1" ht="19.5" customHeight="1">
      <c r="A199" s="13"/>
      <c r="B199" s="10">
        <v>75405</v>
      </c>
      <c r="C199" s="10"/>
      <c r="D199" s="10" t="s">
        <v>128</v>
      </c>
      <c r="E199" s="244"/>
      <c r="F199" s="244"/>
      <c r="G199" s="244">
        <f>G200</f>
        <v>400000</v>
      </c>
      <c r="H199" s="244"/>
      <c r="I199" s="33"/>
    </row>
    <row r="200" spans="1:9" s="27" customFormat="1" ht="27.75" customHeight="1">
      <c r="A200" s="13"/>
      <c r="B200" s="85"/>
      <c r="C200" s="85"/>
      <c r="D200" s="38" t="s">
        <v>129</v>
      </c>
      <c r="E200" s="100"/>
      <c r="F200" s="100"/>
      <c r="G200" s="100">
        <f>G201</f>
        <v>400000</v>
      </c>
      <c r="H200" s="100"/>
      <c r="I200" s="33"/>
    </row>
    <row r="201" spans="1:9" s="27" customFormat="1" ht="19.5" customHeight="1">
      <c r="A201" s="13"/>
      <c r="B201" s="29"/>
      <c r="C201" s="23">
        <v>6050</v>
      </c>
      <c r="D201" s="12" t="s">
        <v>303</v>
      </c>
      <c r="E201" s="247"/>
      <c r="F201" s="247"/>
      <c r="G201" s="247">
        <v>400000</v>
      </c>
      <c r="H201" s="247"/>
      <c r="I201" s="33"/>
    </row>
    <row r="202" spans="1:9" s="27" customFormat="1" ht="19.5" customHeight="1">
      <c r="A202" s="95">
        <v>851</v>
      </c>
      <c r="B202" s="508"/>
      <c r="C202" s="508"/>
      <c r="D202" s="509" t="s">
        <v>337</v>
      </c>
      <c r="E202" s="9"/>
      <c r="F202" s="9"/>
      <c r="G202" s="9"/>
      <c r="H202" s="9">
        <f>H203</f>
        <v>530000</v>
      </c>
      <c r="I202" s="33"/>
    </row>
    <row r="203" spans="1:9" s="27" customFormat="1" ht="19.5" customHeight="1">
      <c r="A203" s="85"/>
      <c r="B203" s="10">
        <v>85154</v>
      </c>
      <c r="C203" s="164"/>
      <c r="D203" s="372" t="s">
        <v>359</v>
      </c>
      <c r="E203" s="244"/>
      <c r="F203" s="244"/>
      <c r="G203" s="244"/>
      <c r="H203" s="244">
        <f>H204</f>
        <v>530000</v>
      </c>
      <c r="I203" s="33"/>
    </row>
    <row r="204" spans="1:9" s="27" customFormat="1" ht="25.5" customHeight="1">
      <c r="A204" s="13"/>
      <c r="B204" s="468"/>
      <c r="C204" s="85"/>
      <c r="D204" s="503" t="s">
        <v>394</v>
      </c>
      <c r="E204" s="349"/>
      <c r="F204" s="349"/>
      <c r="G204" s="349"/>
      <c r="H204" s="349">
        <f>H205</f>
        <v>530000</v>
      </c>
      <c r="I204" s="33"/>
    </row>
    <row r="205" spans="1:9" s="27" customFormat="1" ht="27.75" customHeight="1">
      <c r="A205" s="13"/>
      <c r="B205" s="13"/>
      <c r="C205" s="13"/>
      <c r="D205" s="504" t="s">
        <v>393</v>
      </c>
      <c r="E205" s="163"/>
      <c r="F205" s="163"/>
      <c r="G205" s="163"/>
      <c r="H205" s="163">
        <f>H207</f>
        <v>530000</v>
      </c>
      <c r="I205" s="33"/>
    </row>
    <row r="206" spans="1:9" s="27" customFormat="1" ht="19.5" customHeight="1">
      <c r="A206" s="13"/>
      <c r="B206" s="13"/>
      <c r="C206" s="16"/>
      <c r="D206" s="506" t="s">
        <v>395</v>
      </c>
      <c r="E206" s="507"/>
      <c r="F206" s="507"/>
      <c r="G206" s="454"/>
      <c r="H206" s="454">
        <v>530000</v>
      </c>
      <c r="I206" s="33"/>
    </row>
    <row r="207" spans="1:9" s="27" customFormat="1" ht="19.5" customHeight="1">
      <c r="A207" s="29"/>
      <c r="B207" s="29"/>
      <c r="C207" s="23">
        <v>6050</v>
      </c>
      <c r="D207" s="505" t="s">
        <v>396</v>
      </c>
      <c r="E207" s="15"/>
      <c r="F207" s="15"/>
      <c r="G207" s="15"/>
      <c r="H207" s="15">
        <f>H206</f>
        <v>530000</v>
      </c>
      <c r="I207" s="33"/>
    </row>
    <row r="208" spans="1:9" s="27" customFormat="1" ht="19.5" customHeight="1">
      <c r="A208" s="558"/>
      <c r="B208" s="558"/>
      <c r="C208" s="553"/>
      <c r="D208" s="733"/>
      <c r="E208" s="708"/>
      <c r="F208" s="708"/>
      <c r="G208" s="708"/>
      <c r="H208" s="708"/>
      <c r="I208" s="33"/>
    </row>
    <row r="209" spans="1:9" s="27" customFormat="1" ht="19.5" customHeight="1">
      <c r="A209" s="8">
        <v>921</v>
      </c>
      <c r="B209" s="8"/>
      <c r="C209" s="8"/>
      <c r="D209" s="8" t="s">
        <v>251</v>
      </c>
      <c r="E209" s="9"/>
      <c r="F209" s="9"/>
      <c r="G209" s="9"/>
      <c r="H209" s="9">
        <f>H210</f>
        <v>140000</v>
      </c>
      <c r="I209" s="33"/>
    </row>
    <row r="210" spans="1:9" s="27" customFormat="1" ht="19.5" customHeight="1">
      <c r="A210" s="34"/>
      <c r="B210" s="70">
        <v>92105</v>
      </c>
      <c r="C210" s="70"/>
      <c r="D210" s="70" t="s">
        <v>252</v>
      </c>
      <c r="E210" s="244"/>
      <c r="F210" s="244"/>
      <c r="G210" s="244"/>
      <c r="H210" s="244">
        <f>H211</f>
        <v>140000</v>
      </c>
      <c r="I210" s="33"/>
    </row>
    <row r="211" spans="1:9" s="27" customFormat="1" ht="19.5" customHeight="1">
      <c r="A211" s="13"/>
      <c r="B211" s="13"/>
      <c r="C211" s="13"/>
      <c r="D211" s="248" t="s">
        <v>199</v>
      </c>
      <c r="E211" s="100"/>
      <c r="F211" s="100"/>
      <c r="G211" s="100"/>
      <c r="H211" s="100">
        <f>H212</f>
        <v>140000</v>
      </c>
      <c r="I211" s="33"/>
    </row>
    <row r="212" spans="1:9" s="27" customFormat="1" ht="19.5" customHeight="1">
      <c r="A212" s="13"/>
      <c r="B212" s="13"/>
      <c r="C212" s="23">
        <v>6050</v>
      </c>
      <c r="D212" s="16" t="s">
        <v>303</v>
      </c>
      <c r="E212" s="321"/>
      <c r="F212" s="321"/>
      <c r="G212" s="321"/>
      <c r="H212" s="321">
        <v>140000</v>
      </c>
      <c r="I212" s="33"/>
    </row>
    <row r="213" spans="1:9" s="27" customFormat="1" ht="36" customHeight="1">
      <c r="A213" s="239"/>
      <c r="B213" s="240"/>
      <c r="C213" s="240"/>
      <c r="D213" s="452" t="s">
        <v>434</v>
      </c>
      <c r="E213" s="313"/>
      <c r="F213" s="313"/>
      <c r="G213" s="313">
        <f aca="true" t="shared" si="3" ref="G213:H215">G214</f>
        <v>20000</v>
      </c>
      <c r="H213" s="313">
        <f t="shared" si="3"/>
        <v>420000</v>
      </c>
      <c r="I213" s="33"/>
    </row>
    <row r="214" spans="1:9" s="27" customFormat="1" ht="18" customHeight="1" thickBot="1">
      <c r="A214" s="29"/>
      <c r="B214" s="29"/>
      <c r="C214" s="29"/>
      <c r="D214" s="6" t="s">
        <v>260</v>
      </c>
      <c r="E214" s="7"/>
      <c r="F214" s="7"/>
      <c r="G214" s="7">
        <f>G215+G222</f>
        <v>20000</v>
      </c>
      <c r="H214" s="7">
        <f>H215+H222</f>
        <v>420000</v>
      </c>
      <c r="I214" s="33"/>
    </row>
    <row r="215" spans="1:9" s="27" customFormat="1" ht="19.5" customHeight="1" thickTop="1">
      <c r="A215" s="8">
        <v>750</v>
      </c>
      <c r="B215" s="8"/>
      <c r="C215" s="8"/>
      <c r="D215" s="8" t="s">
        <v>371</v>
      </c>
      <c r="E215" s="9"/>
      <c r="F215" s="9"/>
      <c r="G215" s="9">
        <f t="shared" si="3"/>
        <v>20000</v>
      </c>
      <c r="H215" s="9">
        <f t="shared" si="3"/>
        <v>20000</v>
      </c>
      <c r="I215" s="33"/>
    </row>
    <row r="216" spans="1:9" s="27" customFormat="1" ht="19.5" customHeight="1">
      <c r="A216" s="13"/>
      <c r="B216" s="10">
        <v>75023</v>
      </c>
      <c r="C216" s="10"/>
      <c r="D216" s="10" t="s">
        <v>372</v>
      </c>
      <c r="E216" s="145"/>
      <c r="F216" s="145"/>
      <c r="G216" s="145">
        <f>G217+G219</f>
        <v>20000</v>
      </c>
      <c r="H216" s="145">
        <f>H217+H219</f>
        <v>20000</v>
      </c>
      <c r="I216" s="33"/>
    </row>
    <row r="217" spans="1:9" s="27" customFormat="1" ht="19.5" customHeight="1">
      <c r="A217" s="13"/>
      <c r="B217" s="85"/>
      <c r="C217" s="85"/>
      <c r="D217" s="38" t="s">
        <v>304</v>
      </c>
      <c r="E217" s="100"/>
      <c r="F217" s="100"/>
      <c r="G217" s="100"/>
      <c r="H217" s="100">
        <f>H218</f>
        <v>20000</v>
      </c>
      <c r="I217" s="33"/>
    </row>
    <row r="218" spans="1:9" s="27" customFormat="1" ht="19.5" customHeight="1">
      <c r="A218" s="13"/>
      <c r="B218" s="13"/>
      <c r="C218" s="23">
        <v>4210</v>
      </c>
      <c r="D218" s="23" t="s">
        <v>302</v>
      </c>
      <c r="E218" s="15"/>
      <c r="F218" s="15"/>
      <c r="G218" s="15"/>
      <c r="H218" s="15">
        <v>20000</v>
      </c>
      <c r="I218" s="33"/>
    </row>
    <row r="219" spans="1:9" s="27" customFormat="1" ht="19.5" customHeight="1">
      <c r="A219" s="13"/>
      <c r="B219" s="13"/>
      <c r="C219" s="85"/>
      <c r="D219" s="38" t="s">
        <v>324</v>
      </c>
      <c r="E219" s="100"/>
      <c r="F219" s="100"/>
      <c r="G219" s="100">
        <f>G221</f>
        <v>20000</v>
      </c>
      <c r="H219" s="100"/>
      <c r="I219" s="33"/>
    </row>
    <row r="220" spans="1:9" s="27" customFormat="1" ht="19.5" customHeight="1">
      <c r="A220" s="13"/>
      <c r="B220" s="13"/>
      <c r="C220" s="13"/>
      <c r="D220" s="439" t="s">
        <v>213</v>
      </c>
      <c r="E220" s="454"/>
      <c r="F220" s="454"/>
      <c r="G220" s="454">
        <v>20000</v>
      </c>
      <c r="H220" s="454"/>
      <c r="I220" s="33"/>
    </row>
    <row r="221" spans="1:9" s="27" customFormat="1" ht="19.5" customHeight="1">
      <c r="A221" s="29"/>
      <c r="B221" s="29"/>
      <c r="C221" s="23">
        <v>6060</v>
      </c>
      <c r="D221" s="23" t="s">
        <v>212</v>
      </c>
      <c r="E221" s="15"/>
      <c r="F221" s="15"/>
      <c r="G221" s="15">
        <f>G220</f>
        <v>20000</v>
      </c>
      <c r="H221" s="15"/>
      <c r="I221" s="33"/>
    </row>
    <row r="222" spans="1:9" s="27" customFormat="1" ht="19.5" customHeight="1">
      <c r="A222" s="8">
        <v>754</v>
      </c>
      <c r="B222" s="8"/>
      <c r="C222" s="8"/>
      <c r="D222" s="8" t="s">
        <v>127</v>
      </c>
      <c r="E222" s="9"/>
      <c r="F222" s="9"/>
      <c r="G222" s="9"/>
      <c r="H222" s="9">
        <f>H223</f>
        <v>400000</v>
      </c>
      <c r="I222" s="33"/>
    </row>
    <row r="223" spans="1:9" s="27" customFormat="1" ht="19.5" customHeight="1">
      <c r="A223" s="13"/>
      <c r="B223" s="70">
        <v>75495</v>
      </c>
      <c r="C223" s="70"/>
      <c r="D223" s="70" t="s">
        <v>235</v>
      </c>
      <c r="E223" s="145"/>
      <c r="F223" s="145"/>
      <c r="G223" s="145"/>
      <c r="H223" s="145">
        <f>H224</f>
        <v>400000</v>
      </c>
      <c r="I223" s="33"/>
    </row>
    <row r="224" spans="1:9" s="27" customFormat="1" ht="19.5" customHeight="1">
      <c r="A224" s="13"/>
      <c r="B224" s="13"/>
      <c r="C224" s="13"/>
      <c r="D224" s="248" t="s">
        <v>130</v>
      </c>
      <c r="E224" s="100"/>
      <c r="F224" s="100"/>
      <c r="G224" s="100"/>
      <c r="H224" s="100">
        <f>H225</f>
        <v>400000</v>
      </c>
      <c r="I224" s="33"/>
    </row>
    <row r="225" spans="1:9" s="27" customFormat="1" ht="19.5" customHeight="1">
      <c r="A225" s="13"/>
      <c r="B225" s="13"/>
      <c r="C225" s="23">
        <v>6050</v>
      </c>
      <c r="D225" s="102" t="s">
        <v>303</v>
      </c>
      <c r="E225" s="15"/>
      <c r="F225" s="15"/>
      <c r="G225" s="15"/>
      <c r="H225" s="15">
        <v>400000</v>
      </c>
      <c r="I225" s="33"/>
    </row>
    <row r="226" spans="1:8" ht="19.5" customHeight="1">
      <c r="A226" s="239"/>
      <c r="B226" s="240"/>
      <c r="C226" s="240"/>
      <c r="D226" s="296" t="s">
        <v>435</v>
      </c>
      <c r="E226" s="296"/>
      <c r="F226" s="296"/>
      <c r="G226" s="313">
        <f aca="true" t="shared" si="4" ref="G226:H229">G227</f>
        <v>42000</v>
      </c>
      <c r="H226" s="313">
        <f t="shared" si="4"/>
        <v>42000</v>
      </c>
    </row>
    <row r="227" spans="1:8" ht="19.5" customHeight="1" thickBot="1">
      <c r="A227" s="13"/>
      <c r="B227" s="29"/>
      <c r="C227" s="29"/>
      <c r="D227" s="6" t="s">
        <v>260</v>
      </c>
      <c r="E227" s="6"/>
      <c r="F227" s="6"/>
      <c r="G227" s="7">
        <f t="shared" si="4"/>
        <v>42000</v>
      </c>
      <c r="H227" s="7">
        <f t="shared" si="4"/>
        <v>42000</v>
      </c>
    </row>
    <row r="228" spans="1:9" s="27" customFormat="1" ht="19.5" customHeight="1" thickTop="1">
      <c r="A228" s="95">
        <v>750</v>
      </c>
      <c r="B228" s="95"/>
      <c r="C228" s="8"/>
      <c r="D228" s="8" t="s">
        <v>371</v>
      </c>
      <c r="E228" s="9"/>
      <c r="F228" s="9"/>
      <c r="G228" s="9">
        <f t="shared" si="4"/>
        <v>42000</v>
      </c>
      <c r="H228" s="9">
        <f t="shared" si="4"/>
        <v>42000</v>
      </c>
      <c r="I228" s="33"/>
    </row>
    <row r="229" spans="1:8" ht="19.5" customHeight="1">
      <c r="A229" s="34"/>
      <c r="B229" s="10">
        <v>75095</v>
      </c>
      <c r="C229" s="10"/>
      <c r="D229" s="10" t="s">
        <v>235</v>
      </c>
      <c r="E229" s="10"/>
      <c r="F229" s="10"/>
      <c r="G229" s="145">
        <f t="shared" si="4"/>
        <v>42000</v>
      </c>
      <c r="H229" s="145">
        <f t="shared" si="4"/>
        <v>42000</v>
      </c>
    </row>
    <row r="230" spans="1:8" ht="19.5" customHeight="1">
      <c r="A230" s="13"/>
      <c r="B230" s="85"/>
      <c r="C230" s="85"/>
      <c r="D230" s="38" t="s">
        <v>379</v>
      </c>
      <c r="E230" s="336"/>
      <c r="F230" s="336"/>
      <c r="G230" s="100">
        <f>SUM(G231:G233)</f>
        <v>42000</v>
      </c>
      <c r="H230" s="100">
        <f>SUM(H231:H233)</f>
        <v>42000</v>
      </c>
    </row>
    <row r="231" spans="1:8" ht="20.25" customHeight="1">
      <c r="A231" s="13"/>
      <c r="B231" s="13"/>
      <c r="C231" s="23">
        <v>4300</v>
      </c>
      <c r="D231" s="98" t="s">
        <v>336</v>
      </c>
      <c r="E231" s="98"/>
      <c r="F231" s="98"/>
      <c r="G231" s="99"/>
      <c r="H231" s="99">
        <v>40000</v>
      </c>
    </row>
    <row r="232" spans="1:8" ht="19.5" customHeight="1">
      <c r="A232" s="13"/>
      <c r="B232" s="13"/>
      <c r="C232" s="23">
        <v>4410</v>
      </c>
      <c r="D232" s="23" t="s">
        <v>380</v>
      </c>
      <c r="E232" s="98"/>
      <c r="F232" s="98"/>
      <c r="G232" s="15"/>
      <c r="H232" s="15">
        <v>2000</v>
      </c>
    </row>
    <row r="233" spans="1:8" ht="19.5" customHeight="1">
      <c r="A233" s="13"/>
      <c r="B233" s="13"/>
      <c r="C233" s="16">
        <v>4420</v>
      </c>
      <c r="D233" s="16" t="s">
        <v>381</v>
      </c>
      <c r="E233" s="734"/>
      <c r="F233" s="734"/>
      <c r="G233" s="321">
        <f>2000+40000</f>
        <v>42000</v>
      </c>
      <c r="H233" s="321"/>
    </row>
    <row r="234" spans="1:8" ht="28.5" customHeight="1">
      <c r="A234" s="558"/>
      <c r="B234" s="558"/>
      <c r="C234" s="553"/>
      <c r="D234" s="553"/>
      <c r="E234" s="554"/>
      <c r="F234" s="554"/>
      <c r="G234" s="708"/>
      <c r="H234" s="708"/>
    </row>
    <row r="235" spans="1:8" s="30" customFormat="1" ht="19.5" customHeight="1">
      <c r="A235" s="314"/>
      <c r="B235" s="314"/>
      <c r="C235" s="431"/>
      <c r="D235" s="218" t="s">
        <v>436</v>
      </c>
      <c r="E235" s="301"/>
      <c r="F235" s="301"/>
      <c r="G235" s="301">
        <f aca="true" t="shared" si="5" ref="G235:H238">G236</f>
        <v>25000</v>
      </c>
      <c r="H235" s="301">
        <f t="shared" si="5"/>
        <v>25000</v>
      </c>
    </row>
    <row r="236" spans="1:8" s="31" customFormat="1" ht="19.5" customHeight="1" thickBot="1">
      <c r="A236" s="23"/>
      <c r="B236" s="23"/>
      <c r="C236" s="379"/>
      <c r="D236" s="451" t="s">
        <v>334</v>
      </c>
      <c r="E236" s="432"/>
      <c r="F236" s="432"/>
      <c r="G236" s="341">
        <f t="shared" si="5"/>
        <v>25000</v>
      </c>
      <c r="H236" s="341">
        <f t="shared" si="5"/>
        <v>25000</v>
      </c>
    </row>
    <row r="237" spans="1:8" s="27" customFormat="1" ht="19.5" customHeight="1" thickTop="1">
      <c r="A237" s="8">
        <v>853</v>
      </c>
      <c r="B237" s="8"/>
      <c r="C237" s="8"/>
      <c r="D237" s="8" t="s">
        <v>216</v>
      </c>
      <c r="E237" s="9"/>
      <c r="F237" s="9"/>
      <c r="G237" s="9">
        <f t="shared" si="5"/>
        <v>25000</v>
      </c>
      <c r="H237" s="9">
        <f t="shared" si="5"/>
        <v>25000</v>
      </c>
    </row>
    <row r="238" spans="1:8" s="27" customFormat="1" ht="19.5" customHeight="1">
      <c r="A238" s="34"/>
      <c r="B238" s="70">
        <v>85302</v>
      </c>
      <c r="C238" s="70"/>
      <c r="D238" s="70" t="s">
        <v>204</v>
      </c>
      <c r="E238" s="244"/>
      <c r="F238" s="244"/>
      <c r="G238" s="244">
        <f t="shared" si="5"/>
        <v>25000</v>
      </c>
      <c r="H238" s="244">
        <f t="shared" si="5"/>
        <v>25000</v>
      </c>
    </row>
    <row r="239" spans="1:8" s="27" customFormat="1" ht="19.5" customHeight="1">
      <c r="A239" s="13"/>
      <c r="B239" s="13"/>
      <c r="C239" s="13"/>
      <c r="D239" s="38" t="s">
        <v>304</v>
      </c>
      <c r="E239" s="39"/>
      <c r="F239" s="39"/>
      <c r="G239" s="39">
        <f>SUM(G240:G241)</f>
        <v>25000</v>
      </c>
      <c r="H239" s="39">
        <f>SUM(H240:H241)</f>
        <v>25000</v>
      </c>
    </row>
    <row r="240" spans="1:8" s="27" customFormat="1" ht="19.5" customHeight="1">
      <c r="A240" s="16"/>
      <c r="B240" s="16"/>
      <c r="C240" s="21">
        <v>4210</v>
      </c>
      <c r="D240" s="12" t="s">
        <v>302</v>
      </c>
      <c r="E240" s="19"/>
      <c r="F240" s="19"/>
      <c r="G240" s="19">
        <v>25000</v>
      </c>
      <c r="H240" s="19"/>
    </row>
    <row r="241" spans="1:8" s="27" customFormat="1" ht="19.5" customHeight="1">
      <c r="A241" s="16"/>
      <c r="B241" s="16"/>
      <c r="C241" s="21">
        <v>4270</v>
      </c>
      <c r="D241" s="12" t="s">
        <v>203</v>
      </c>
      <c r="E241" s="19"/>
      <c r="F241" s="19"/>
      <c r="G241" s="247"/>
      <c r="H241" s="19">
        <v>25000</v>
      </c>
    </row>
    <row r="242" spans="1:8" s="30" customFormat="1" ht="19.5" customHeight="1">
      <c r="A242" s="314"/>
      <c r="B242" s="314"/>
      <c r="C242" s="431"/>
      <c r="D242" s="218" t="s">
        <v>437</v>
      </c>
      <c r="E242" s="301"/>
      <c r="F242" s="301"/>
      <c r="G242" s="301">
        <f>G243+G258</f>
        <v>511600</v>
      </c>
      <c r="H242" s="301">
        <f>H243+H258</f>
        <v>581590</v>
      </c>
    </row>
    <row r="243" spans="1:8" s="31" customFormat="1" ht="19.5" customHeight="1" thickBot="1">
      <c r="A243" s="23"/>
      <c r="B243" s="23"/>
      <c r="C243" s="379"/>
      <c r="D243" s="451" t="s">
        <v>334</v>
      </c>
      <c r="E243" s="432"/>
      <c r="F243" s="432"/>
      <c r="G243" s="341">
        <f>G244</f>
        <v>38600</v>
      </c>
      <c r="H243" s="341">
        <f>H244</f>
        <v>288600</v>
      </c>
    </row>
    <row r="244" spans="1:8" s="27" customFormat="1" ht="19.5" customHeight="1" thickTop="1">
      <c r="A244" s="382">
        <v>853</v>
      </c>
      <c r="B244" s="8"/>
      <c r="C244" s="55"/>
      <c r="D244" s="56" t="s">
        <v>216</v>
      </c>
      <c r="E244" s="57"/>
      <c r="F244" s="57"/>
      <c r="G244" s="57">
        <f>G245+G254</f>
        <v>38600</v>
      </c>
      <c r="H244" s="57">
        <f>H245+H254</f>
        <v>288600</v>
      </c>
    </row>
    <row r="245" spans="1:8" s="27" customFormat="1" ht="19.5" customHeight="1">
      <c r="A245" s="13"/>
      <c r="B245" s="384">
        <v>85301</v>
      </c>
      <c r="C245" s="70"/>
      <c r="D245" s="217" t="s">
        <v>261</v>
      </c>
      <c r="E245" s="168"/>
      <c r="F245" s="168"/>
      <c r="G245" s="168">
        <f>G246</f>
        <v>38600</v>
      </c>
      <c r="H245" s="168">
        <f>H246</f>
        <v>38600</v>
      </c>
    </row>
    <row r="246" spans="1:8" s="27" customFormat="1" ht="19.5" customHeight="1">
      <c r="A246" s="13"/>
      <c r="B246" s="85"/>
      <c r="C246" s="13"/>
      <c r="D246" s="38" t="s">
        <v>343</v>
      </c>
      <c r="E246" s="39"/>
      <c r="F246" s="39"/>
      <c r="G246" s="39">
        <f>G253</f>
        <v>38600</v>
      </c>
      <c r="H246" s="39">
        <f>H253</f>
        <v>38600</v>
      </c>
    </row>
    <row r="247" spans="1:8" s="27" customFormat="1" ht="25.5" customHeight="1">
      <c r="A247" s="13"/>
      <c r="B247" s="13"/>
      <c r="C247" s="13"/>
      <c r="D247" s="495" t="s">
        <v>367</v>
      </c>
      <c r="E247" s="496"/>
      <c r="F247" s="496"/>
      <c r="G247" s="437">
        <v>12600</v>
      </c>
      <c r="H247" s="437"/>
    </row>
    <row r="248" spans="1:8" s="27" customFormat="1" ht="27.75" customHeight="1">
      <c r="A248" s="13"/>
      <c r="B248" s="13"/>
      <c r="C248" s="13"/>
      <c r="D248" s="495" t="s">
        <v>368</v>
      </c>
      <c r="E248" s="497"/>
      <c r="F248" s="497"/>
      <c r="G248" s="438"/>
      <c r="H248" s="438">
        <v>12600</v>
      </c>
    </row>
    <row r="249" spans="1:8" s="27" customFormat="1" ht="25.5" customHeight="1">
      <c r="A249" s="13"/>
      <c r="B249" s="13"/>
      <c r="C249" s="13"/>
      <c r="D249" s="495" t="s">
        <v>369</v>
      </c>
      <c r="E249" s="438"/>
      <c r="F249" s="438"/>
      <c r="G249" s="438">
        <v>21000</v>
      </c>
      <c r="H249" s="438"/>
    </row>
    <row r="250" spans="1:8" s="27" customFormat="1" ht="25.5" customHeight="1">
      <c r="A250" s="13"/>
      <c r="B250" s="13"/>
      <c r="C250" s="13"/>
      <c r="D250" s="709" t="s">
        <v>827</v>
      </c>
      <c r="E250" s="706"/>
      <c r="F250" s="706"/>
      <c r="G250" s="706"/>
      <c r="H250" s="706">
        <v>21000</v>
      </c>
    </row>
    <row r="251" spans="1:8" s="27" customFormat="1" ht="25.5" customHeight="1">
      <c r="A251" s="13"/>
      <c r="B251" s="13"/>
      <c r="C251" s="13"/>
      <c r="D251" s="495" t="s">
        <v>828</v>
      </c>
      <c r="E251" s="438"/>
      <c r="F251" s="438"/>
      <c r="G251" s="438"/>
      <c r="H251" s="438">
        <v>5000</v>
      </c>
    </row>
    <row r="252" spans="1:8" s="27" customFormat="1" ht="18.75" customHeight="1">
      <c r="A252" s="13"/>
      <c r="B252" s="13"/>
      <c r="C252" s="13"/>
      <c r="D252" s="495" t="s">
        <v>370</v>
      </c>
      <c r="E252" s="499"/>
      <c r="F252" s="499"/>
      <c r="G252" s="499">
        <v>5000</v>
      </c>
      <c r="H252" s="499"/>
    </row>
    <row r="253" spans="1:8" s="27" customFormat="1" ht="29.25" customHeight="1">
      <c r="A253" s="13"/>
      <c r="B253" s="29"/>
      <c r="C253" s="23">
        <v>2580</v>
      </c>
      <c r="D253" s="12" t="s">
        <v>344</v>
      </c>
      <c r="E253" s="498"/>
      <c r="F253" s="498"/>
      <c r="G253" s="498">
        <f>SUM(G247:G252)</f>
        <v>38600</v>
      </c>
      <c r="H253" s="498">
        <f>SUM(H247:H252)</f>
        <v>38600</v>
      </c>
    </row>
    <row r="254" spans="1:8" s="27" customFormat="1" ht="19.5" customHeight="1">
      <c r="A254" s="13"/>
      <c r="B254" s="70">
        <v>85304</v>
      </c>
      <c r="C254" s="70"/>
      <c r="D254" s="70" t="s">
        <v>401</v>
      </c>
      <c r="E254" s="168"/>
      <c r="F254" s="168"/>
      <c r="G254" s="168"/>
      <c r="H254" s="168">
        <f>H255</f>
        <v>250000</v>
      </c>
    </row>
    <row r="255" spans="1:8" s="27" customFormat="1" ht="19.5" customHeight="1">
      <c r="A255" s="13"/>
      <c r="B255" s="13"/>
      <c r="C255" s="13"/>
      <c r="D255" s="248" t="s">
        <v>403</v>
      </c>
      <c r="E255" s="39"/>
      <c r="F255" s="39"/>
      <c r="G255" s="39"/>
      <c r="H255" s="39">
        <f>H256</f>
        <v>250000</v>
      </c>
    </row>
    <row r="256" spans="1:8" s="27" customFormat="1" ht="19.5" customHeight="1">
      <c r="A256" s="13"/>
      <c r="B256" s="13"/>
      <c r="C256" s="16">
        <v>3110</v>
      </c>
      <c r="D256" s="16" t="s">
        <v>239</v>
      </c>
      <c r="E256" s="321"/>
      <c r="F256" s="321"/>
      <c r="G256" s="321"/>
      <c r="H256" s="321">
        <v>250000</v>
      </c>
    </row>
    <row r="257" spans="1:8" s="27" customFormat="1" ht="62.25" customHeight="1">
      <c r="A257" s="558"/>
      <c r="B257" s="558"/>
      <c r="C257" s="553"/>
      <c r="D257" s="553"/>
      <c r="E257" s="708"/>
      <c r="F257" s="708"/>
      <c r="G257" s="708"/>
      <c r="H257" s="708"/>
    </row>
    <row r="258" spans="1:8" s="31" customFormat="1" ht="19.5" customHeight="1" thickBot="1">
      <c r="A258" s="23"/>
      <c r="B258" s="23"/>
      <c r="C258" s="379"/>
      <c r="D258" s="451" t="s">
        <v>291</v>
      </c>
      <c r="E258" s="432"/>
      <c r="F258" s="432"/>
      <c r="G258" s="341">
        <f>G259</f>
        <v>473000</v>
      </c>
      <c r="H258" s="341">
        <f>H259</f>
        <v>292990</v>
      </c>
    </row>
    <row r="259" spans="1:8" s="27" customFormat="1" ht="19.5" customHeight="1" thickTop="1">
      <c r="A259" s="382">
        <v>853</v>
      </c>
      <c r="B259" s="8"/>
      <c r="C259" s="55"/>
      <c r="D259" s="56" t="s">
        <v>216</v>
      </c>
      <c r="E259" s="57"/>
      <c r="F259" s="57"/>
      <c r="G259" s="57">
        <f>G260+G263+G266</f>
        <v>473000</v>
      </c>
      <c r="H259" s="57">
        <f>H260+H263+H266</f>
        <v>292990</v>
      </c>
    </row>
    <row r="260" spans="1:8" s="27" customFormat="1" ht="27.75" customHeight="1">
      <c r="A260" s="13"/>
      <c r="B260" s="70">
        <v>85313</v>
      </c>
      <c r="C260" s="175"/>
      <c r="D260" s="217" t="s">
        <v>408</v>
      </c>
      <c r="E260" s="168"/>
      <c r="F260" s="168"/>
      <c r="G260" s="168">
        <f>G261</f>
        <v>473000</v>
      </c>
      <c r="H260" s="168"/>
    </row>
    <row r="261" spans="1:8" s="27" customFormat="1" ht="26.25" customHeight="1">
      <c r="A261" s="13"/>
      <c r="B261" s="13"/>
      <c r="C261" s="13"/>
      <c r="D261" s="38" t="s">
        <v>413</v>
      </c>
      <c r="E261" s="39"/>
      <c r="F261" s="39"/>
      <c r="G261" s="39">
        <f>G262</f>
        <v>473000</v>
      </c>
      <c r="H261" s="39"/>
    </row>
    <row r="262" spans="1:8" s="27" customFormat="1" ht="19.5" customHeight="1">
      <c r="A262" s="13"/>
      <c r="B262" s="29"/>
      <c r="C262" s="23">
        <v>4130</v>
      </c>
      <c r="D262" s="12" t="s">
        <v>414</v>
      </c>
      <c r="E262" s="15"/>
      <c r="F262" s="15"/>
      <c r="G262" s="15">
        <v>473000</v>
      </c>
      <c r="H262" s="15"/>
    </row>
    <row r="263" spans="1:8" s="27" customFormat="1" ht="19.5" customHeight="1">
      <c r="A263" s="13"/>
      <c r="B263" s="70">
        <v>85314</v>
      </c>
      <c r="C263" s="175"/>
      <c r="D263" s="217" t="s">
        <v>411</v>
      </c>
      <c r="E263" s="168"/>
      <c r="F263" s="168"/>
      <c r="G263" s="168"/>
      <c r="H263" s="168">
        <f>H264</f>
        <v>292000</v>
      </c>
    </row>
    <row r="264" spans="1:8" s="27" customFormat="1" ht="19.5" customHeight="1">
      <c r="A264" s="13"/>
      <c r="B264" s="13"/>
      <c r="C264" s="13"/>
      <c r="D264" s="248" t="s">
        <v>403</v>
      </c>
      <c r="E264" s="39"/>
      <c r="F264" s="39"/>
      <c r="G264" s="39"/>
      <c r="H264" s="39">
        <f>H265</f>
        <v>292000</v>
      </c>
    </row>
    <row r="265" spans="1:8" s="27" customFormat="1" ht="19.5" customHeight="1">
      <c r="A265" s="13"/>
      <c r="B265" s="13"/>
      <c r="C265" s="23">
        <v>3110</v>
      </c>
      <c r="D265" s="23" t="s">
        <v>239</v>
      </c>
      <c r="E265" s="15"/>
      <c r="F265" s="15"/>
      <c r="G265" s="15"/>
      <c r="H265" s="15">
        <v>292000</v>
      </c>
    </row>
    <row r="266" spans="1:8" s="27" customFormat="1" ht="19.5" customHeight="1">
      <c r="A266" s="13"/>
      <c r="B266" s="10">
        <v>85395</v>
      </c>
      <c r="C266" s="10"/>
      <c r="D266" s="11" t="s">
        <v>235</v>
      </c>
      <c r="E266" s="168"/>
      <c r="F266" s="168"/>
      <c r="G266" s="168"/>
      <c r="H266" s="168">
        <f>H267</f>
        <v>990</v>
      </c>
    </row>
    <row r="267" spans="1:8" s="27" customFormat="1" ht="19.5" customHeight="1">
      <c r="A267" s="13"/>
      <c r="B267" s="13"/>
      <c r="C267" s="13"/>
      <c r="D267" s="38" t="s">
        <v>323</v>
      </c>
      <c r="E267" s="39"/>
      <c r="F267" s="39"/>
      <c r="G267" s="39"/>
      <c r="H267" s="39">
        <f>H268</f>
        <v>990</v>
      </c>
    </row>
    <row r="268" spans="1:8" s="27" customFormat="1" ht="19.5" customHeight="1">
      <c r="A268" s="13"/>
      <c r="B268" s="13"/>
      <c r="C268" s="23">
        <v>3110</v>
      </c>
      <c r="D268" s="12" t="s">
        <v>239</v>
      </c>
      <c r="E268" s="15"/>
      <c r="F268" s="15"/>
      <c r="G268" s="15"/>
      <c r="H268" s="15">
        <v>990</v>
      </c>
    </row>
    <row r="269" spans="1:8" s="30" customFormat="1" ht="19.5" customHeight="1">
      <c r="A269" s="314"/>
      <c r="B269" s="314"/>
      <c r="C269" s="431"/>
      <c r="D269" s="218" t="s">
        <v>438</v>
      </c>
      <c r="E269" s="301"/>
      <c r="F269" s="301"/>
      <c r="G269" s="301"/>
      <c r="H269" s="301">
        <f>H270</f>
        <v>2572</v>
      </c>
    </row>
    <row r="270" spans="1:8" s="31" customFormat="1" ht="19.5" customHeight="1" thickBot="1">
      <c r="A270" s="23"/>
      <c r="B270" s="23"/>
      <c r="C270" s="379"/>
      <c r="D270" s="451" t="s">
        <v>334</v>
      </c>
      <c r="E270" s="432"/>
      <c r="F270" s="432"/>
      <c r="G270" s="432"/>
      <c r="H270" s="341">
        <f>H271</f>
        <v>2572</v>
      </c>
    </row>
    <row r="271" spans="1:8" s="27" customFormat="1" ht="19.5" customHeight="1" thickTop="1">
      <c r="A271" s="8">
        <v>801</v>
      </c>
      <c r="B271" s="8"/>
      <c r="C271" s="8"/>
      <c r="D271" s="8" t="s">
        <v>262</v>
      </c>
      <c r="E271" s="9"/>
      <c r="F271" s="9"/>
      <c r="G271" s="9"/>
      <c r="H271" s="9">
        <f>H272+H276</f>
        <v>2572</v>
      </c>
    </row>
    <row r="272" spans="1:8" s="27" customFormat="1" ht="19.5" customHeight="1">
      <c r="A272" s="34"/>
      <c r="B272" s="70">
        <v>80145</v>
      </c>
      <c r="C272" s="70"/>
      <c r="D272" s="70" t="s">
        <v>206</v>
      </c>
      <c r="E272" s="244"/>
      <c r="F272" s="244"/>
      <c r="G272" s="244"/>
      <c r="H272" s="244">
        <f>H273</f>
        <v>955</v>
      </c>
    </row>
    <row r="273" spans="1:8" s="27" customFormat="1" ht="19.5" customHeight="1">
      <c r="A273" s="13"/>
      <c r="B273" s="13"/>
      <c r="C273" s="85"/>
      <c r="D273" s="38" t="s">
        <v>207</v>
      </c>
      <c r="E273" s="39"/>
      <c r="F273" s="39"/>
      <c r="G273" s="39"/>
      <c r="H273" s="39">
        <f>SUM(H274:H275)</f>
        <v>955</v>
      </c>
    </row>
    <row r="274" spans="1:8" s="27" customFormat="1" ht="19.5" customHeight="1">
      <c r="A274" s="16"/>
      <c r="B274" s="16"/>
      <c r="C274" s="23">
        <v>4300</v>
      </c>
      <c r="D274" s="23" t="s">
        <v>336</v>
      </c>
      <c r="E274" s="19"/>
      <c r="F274" s="19"/>
      <c r="G274" s="19"/>
      <c r="H274" s="19">
        <v>540</v>
      </c>
    </row>
    <row r="275" spans="1:8" s="27" customFormat="1" ht="19.5" customHeight="1">
      <c r="A275" s="16"/>
      <c r="B275" s="23"/>
      <c r="C275" s="23">
        <v>4410</v>
      </c>
      <c r="D275" s="12" t="s">
        <v>380</v>
      </c>
      <c r="E275" s="19"/>
      <c r="F275" s="19"/>
      <c r="G275" s="19"/>
      <c r="H275" s="19">
        <v>415</v>
      </c>
    </row>
    <row r="276" spans="1:8" s="27" customFormat="1" ht="19.5" customHeight="1">
      <c r="A276" s="34"/>
      <c r="B276" s="70">
        <v>80195</v>
      </c>
      <c r="C276" s="70"/>
      <c r="D276" s="70" t="s">
        <v>235</v>
      </c>
      <c r="E276" s="244"/>
      <c r="F276" s="244"/>
      <c r="G276" s="244"/>
      <c r="H276" s="244">
        <f>H277</f>
        <v>1617</v>
      </c>
    </row>
    <row r="277" spans="1:8" s="27" customFormat="1" ht="19.5" customHeight="1">
      <c r="A277" s="13"/>
      <c r="B277" s="13"/>
      <c r="C277" s="13"/>
      <c r="D277" s="336" t="s">
        <v>407</v>
      </c>
      <c r="E277" s="39"/>
      <c r="F277" s="39"/>
      <c r="G277" s="39"/>
      <c r="H277" s="39">
        <f>H278</f>
        <v>1617</v>
      </c>
    </row>
    <row r="278" spans="1:8" s="27" customFormat="1" ht="19.5" customHeight="1">
      <c r="A278" s="16"/>
      <c r="B278" s="16"/>
      <c r="C278" s="23">
        <v>4440</v>
      </c>
      <c r="D278" s="98" t="s">
        <v>305</v>
      </c>
      <c r="E278" s="19"/>
      <c r="F278" s="19"/>
      <c r="G278" s="19"/>
      <c r="H278" s="19">
        <v>1617</v>
      </c>
    </row>
    <row r="279" spans="1:8" s="30" customFormat="1" ht="19.5" customHeight="1">
      <c r="A279" s="314"/>
      <c r="B279" s="314"/>
      <c r="C279" s="431"/>
      <c r="D279" s="218" t="s">
        <v>439</v>
      </c>
      <c r="E279" s="301"/>
      <c r="F279" s="301"/>
      <c r="G279" s="301"/>
      <c r="H279" s="301">
        <f>H280</f>
        <v>774286</v>
      </c>
    </row>
    <row r="280" spans="1:8" s="31" customFormat="1" ht="19.5" customHeight="1" thickBot="1">
      <c r="A280" s="23"/>
      <c r="B280" s="23"/>
      <c r="C280" s="379"/>
      <c r="D280" s="451" t="s">
        <v>334</v>
      </c>
      <c r="E280" s="432"/>
      <c r="F280" s="432"/>
      <c r="G280" s="432"/>
      <c r="H280" s="341">
        <f>H283+H292+H281</f>
        <v>774286</v>
      </c>
    </row>
    <row r="281" spans="1:8" s="27" customFormat="1" ht="19.5" customHeight="1" thickTop="1">
      <c r="A281" s="95">
        <v>801</v>
      </c>
      <c r="B281" s="95"/>
      <c r="C281" s="8"/>
      <c r="D281" s="8" t="s">
        <v>262</v>
      </c>
      <c r="E281" s="9"/>
      <c r="F281" s="9"/>
      <c r="G281" s="9"/>
      <c r="H281" s="9">
        <f>355128+85036+120800+50000+13239</f>
        <v>624203</v>
      </c>
    </row>
    <row r="282" spans="1:8" s="27" customFormat="1" ht="50.25" customHeight="1">
      <c r="A282" s="735"/>
      <c r="B282" s="735"/>
      <c r="C282" s="735"/>
      <c r="D282" s="735"/>
      <c r="E282" s="736"/>
      <c r="F282" s="736"/>
      <c r="G282" s="736"/>
      <c r="H282" s="736"/>
    </row>
    <row r="283" spans="1:8" s="27" customFormat="1" ht="19.5" customHeight="1">
      <c r="A283" s="8">
        <v>851</v>
      </c>
      <c r="B283" s="8"/>
      <c r="C283" s="8"/>
      <c r="D283" s="8" t="s">
        <v>337</v>
      </c>
      <c r="E283" s="9"/>
      <c r="F283" s="9"/>
      <c r="G283" s="9"/>
      <c r="H283" s="9">
        <f>H284</f>
        <v>9000</v>
      </c>
    </row>
    <row r="284" spans="1:8" s="27" customFormat="1" ht="19.5" customHeight="1">
      <c r="A284" s="34"/>
      <c r="B284" s="70">
        <v>85154</v>
      </c>
      <c r="C284" s="70"/>
      <c r="D284" s="70" t="s">
        <v>359</v>
      </c>
      <c r="E284" s="168"/>
      <c r="F284" s="168"/>
      <c r="G284" s="168"/>
      <c r="H284" s="168">
        <f>H285</f>
        <v>9000</v>
      </c>
    </row>
    <row r="285" spans="1:8" s="27" customFormat="1" ht="29.25" customHeight="1">
      <c r="A285" s="13"/>
      <c r="B285" s="85"/>
      <c r="C285" s="85"/>
      <c r="D285" s="338" t="s">
        <v>383</v>
      </c>
      <c r="E285" s="97"/>
      <c r="F285" s="97"/>
      <c r="G285" s="97"/>
      <c r="H285" s="97">
        <f>H286</f>
        <v>9000</v>
      </c>
    </row>
    <row r="286" spans="1:8" s="27" customFormat="1" ht="24.75" customHeight="1">
      <c r="A286" s="16"/>
      <c r="B286" s="13"/>
      <c r="C286" s="13"/>
      <c r="D286" s="336" t="s">
        <v>384</v>
      </c>
      <c r="E286" s="20"/>
      <c r="F286" s="20"/>
      <c r="G286" s="20"/>
      <c r="H286" s="20">
        <f>H287</f>
        <v>9000</v>
      </c>
    </row>
    <row r="287" spans="1:8" s="27" customFormat="1" ht="19.5" customHeight="1">
      <c r="A287" s="16"/>
      <c r="B287" s="13"/>
      <c r="C287" s="13"/>
      <c r="D287" s="501" t="s">
        <v>385</v>
      </c>
      <c r="E287" s="496"/>
      <c r="F287" s="496"/>
      <c r="G287" s="496"/>
      <c r="H287" s="496">
        <f>SUM(H288:H291)</f>
        <v>9000</v>
      </c>
    </row>
    <row r="288" spans="1:8" s="27" customFormat="1" ht="19.5" customHeight="1">
      <c r="A288" s="13"/>
      <c r="B288" s="13"/>
      <c r="C288" s="23">
        <v>4110</v>
      </c>
      <c r="D288" s="12" t="s">
        <v>338</v>
      </c>
      <c r="E288" s="19"/>
      <c r="F288" s="19"/>
      <c r="G288" s="19"/>
      <c r="H288" s="19">
        <v>1165</v>
      </c>
    </row>
    <row r="289" spans="1:8" s="27" customFormat="1" ht="19.5" customHeight="1">
      <c r="A289" s="16"/>
      <c r="B289" s="13"/>
      <c r="C289" s="21">
        <v>4120</v>
      </c>
      <c r="D289" s="12" t="s">
        <v>339</v>
      </c>
      <c r="E289" s="19"/>
      <c r="F289" s="19"/>
      <c r="G289" s="19"/>
      <c r="H289" s="19">
        <v>158</v>
      </c>
    </row>
    <row r="290" spans="1:8" s="27" customFormat="1" ht="19.5" customHeight="1">
      <c r="A290" s="16"/>
      <c r="B290" s="13"/>
      <c r="C290" s="21">
        <v>4210</v>
      </c>
      <c r="D290" s="12" t="s">
        <v>302</v>
      </c>
      <c r="E290" s="19"/>
      <c r="F290" s="19"/>
      <c r="G290" s="19"/>
      <c r="H290" s="19">
        <v>500</v>
      </c>
    </row>
    <row r="291" spans="1:8" ht="19.5" customHeight="1">
      <c r="A291" s="5"/>
      <c r="B291" s="29"/>
      <c r="C291" s="21">
        <v>4300</v>
      </c>
      <c r="D291" s="12" t="s">
        <v>336</v>
      </c>
      <c r="E291" s="19"/>
      <c r="F291" s="19"/>
      <c r="G291" s="19"/>
      <c r="H291" s="19">
        <v>7177</v>
      </c>
    </row>
    <row r="292" spans="1:8" s="27" customFormat="1" ht="19.5" customHeight="1">
      <c r="A292" s="95">
        <v>854</v>
      </c>
      <c r="B292" s="95"/>
      <c r="C292" s="8"/>
      <c r="D292" s="8" t="s">
        <v>280</v>
      </c>
      <c r="E292" s="9"/>
      <c r="F292" s="9"/>
      <c r="G292" s="9"/>
      <c r="H292" s="9">
        <f>10000+90583+40500</f>
        <v>141083</v>
      </c>
    </row>
  </sheetData>
  <mergeCells count="2">
    <mergeCell ref="G7:H7"/>
    <mergeCell ref="E7:F7"/>
  </mergeCells>
  <printOptions horizontalCentered="1"/>
  <pageMargins left="0.3937007874015748" right="0.3937007874015748" top="0.6692913385826772" bottom="0.5905511811023623" header="0.5118110236220472" footer="0.31496062992125984"/>
  <pageSetup firstPageNumber="28" useFirstPageNumber="1" horizontalDpi="300" verticalDpi="3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um</cp:lastModifiedBy>
  <cp:lastPrinted>2003-08-05T10:59:50Z</cp:lastPrinted>
  <dcterms:created xsi:type="dcterms:W3CDTF">2001-01-24T06:53:28Z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