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tabRatio="598" firstSheet="6" activeTab="7"/>
  </bookViews>
  <sheets>
    <sheet name="doch-rm" sheetId="1" r:id="rId1"/>
    <sheet name="wyd-rm" sheetId="2" r:id="rId2"/>
    <sheet name="inwest" sheetId="3" r:id="rId3"/>
    <sheet name="remonty" sheetId="4" r:id="rId4"/>
    <sheet name="zlec-rm" sheetId="5" r:id="rId5"/>
    <sheet name="doch-pr" sheetId="6" r:id="rId6"/>
    <sheet name="wyd-pr" sheetId="7" r:id="rId7"/>
    <sheet name="jednostki" sheetId="8" r:id="rId8"/>
    <sheet name="85154" sheetId="9" r:id="rId9"/>
    <sheet name="zlec-pr" sheetId="10" r:id="rId10"/>
    <sheet name="Har.doch." sheetId="11" r:id="rId11"/>
    <sheet name="Harm.wydat." sheetId="12" r:id="rId12"/>
  </sheets>
  <definedNames>
    <definedName name="_xlnm.Print_Area" localSheetId="7">'jednostki'!$A$1:$J$641</definedName>
    <definedName name="_xlnm.Print_Area" localSheetId="1">'wyd-rm'!$A$1:$I$66</definedName>
    <definedName name="_xlnm.Print_Titles" localSheetId="8">'85154'!$4:$4</definedName>
    <definedName name="_xlnm.Print_Titles" localSheetId="5">'doch-pr'!$7:$7</definedName>
    <definedName name="_xlnm.Print_Titles" localSheetId="0">'doch-rm'!$7:$7</definedName>
    <definedName name="_xlnm.Print_Titles" localSheetId="10">'Har.doch.'!$8:$8</definedName>
    <definedName name="_xlnm.Print_Titles" localSheetId="11">'Harm.wydat.'!$9:$9</definedName>
    <definedName name="_xlnm.Print_Titles" localSheetId="2">'inwest'!$8:$8</definedName>
    <definedName name="_xlnm.Print_Titles" localSheetId="7">'jednostki'!$9:$9</definedName>
    <definedName name="_xlnm.Print_Titles" localSheetId="3">'remonty'!$9:$9</definedName>
    <definedName name="_xlnm.Print_Titles" localSheetId="6">'wyd-pr'!$11:$11</definedName>
    <definedName name="_xlnm.Print_Titles" localSheetId="1">'wyd-rm'!$11:$11</definedName>
    <definedName name="_xlnm.Print_Titles" localSheetId="9">'zlec-pr'!$9:$9</definedName>
    <definedName name="_xlnm.Print_Titles" localSheetId="4">'zlec-rm'!$9:$9</definedName>
  </definedNames>
  <calcPr fullCalcOnLoad="1"/>
</workbook>
</file>

<file path=xl/sharedStrings.xml><?xml version="1.0" encoding="utf-8"?>
<sst xmlns="http://schemas.openxmlformats.org/spreadsheetml/2006/main" count="1484" uniqueCount="540">
  <si>
    <t>Zakup usług remontowych - remonty lokali objętych umową najmu i dzierżawy</t>
  </si>
  <si>
    <t>inwestycje - zakupy inwestycyjne</t>
  </si>
  <si>
    <t>inwestycje, w tym:</t>
  </si>
  <si>
    <t>zadania realizowane w ramach Gminnego Programu Profilaktyki 
i Rozwiązywania Problemów Alkoholowych, w tym:</t>
  </si>
  <si>
    <t xml:space="preserve">realizacja zadań wynikających z uchwalonej przez Radę Miasta strategii działań na rzecz osób niepełnosprawnych, w tym: </t>
  </si>
  <si>
    <t>Zakup usług remontowych - remonty kanalizacji deszczowej</t>
  </si>
  <si>
    <t>Zakup usług remontowych - remonty urządzeń oświetlenia</t>
  </si>
  <si>
    <t>dotacja dla Biura Wystaw Artystycznych, w tym:</t>
  </si>
  <si>
    <t>Dochody powiatu, z tego:</t>
  </si>
  <si>
    <t xml:space="preserve">Przedszkole Nr 40 </t>
  </si>
  <si>
    <t>Młodzieżowy Dom Kultury Nr 2</t>
  </si>
  <si>
    <t>dotacja celowa z budżetu państwa na pomoc materialną 
dla młodzieży wiejskiej</t>
  </si>
  <si>
    <t>środki w dyspozycji wydziału</t>
  </si>
  <si>
    <t>Katolickie Stowarzyszenie Pomocy Uzależnionym "AGAPE", 
ul. Bernardyńska 5, 20 - 109 Lublin</t>
  </si>
  <si>
    <t>Archidiecezja Lubelska, ul. Krzywa 6, 20 - 124 Lublin</t>
  </si>
  <si>
    <t>działania z zakresu leczenia i rehabilitacji osób uzależnionych 
od narkotyków</t>
  </si>
  <si>
    <t>zwiększenie dostępności pomocy terapeutycznej 
i rehabilitacyjnej dla osób uzależnionych od alkoholu</t>
  </si>
  <si>
    <t>Stowarzyszenie na Rzecz Pomocy Rodzinie "PRO FAMILY", 
ul. Bursztynowa 41/21, 20-576 Lublin</t>
  </si>
  <si>
    <t>Towarzystwo Piłki Siatkowej, ul. Filaretów 44, 20 - 609 Lublin</t>
  </si>
  <si>
    <t>Parafia Rzymsko - Katolicka p.w. Św. Stanisława Biskupa 
i Męczennika, ul. Zbożowa 75, 20 - 827 Lublin</t>
  </si>
  <si>
    <t>Fundacja "MIĘDZY NAMI", Krężnica Jara 271, 20 -  515 Lublin</t>
  </si>
  <si>
    <t>Polskie Stowarzyszenie na Rzecz Osób z Upośledzeniem Umysłowym Koło w Lublinie, ul. Rogowskiego 5, 
20 - 840 Lublin</t>
  </si>
  <si>
    <t>Towarzystwo Przyjaciół Dzieci, ul. Zielona 5, 20 - 082 Lublin</t>
  </si>
  <si>
    <t>prowadzenie innowacyjnych zajęć edukacyjnych dla dzieci 
i młodzieży niepełnosprawnej</t>
  </si>
  <si>
    <t>Polski Związek Niewidomych Okręg Lubelski,
ul. Wieniawska 13, 20 - 071 Lublin</t>
  </si>
  <si>
    <t>Lubelski Związek Inwalidów Narządu Ruchu, 
ul. Lubomelska 1 - 3, 20 - 072 Lublin</t>
  </si>
  <si>
    <t>Polski Związek Emerytów, Rencistów i Inwalidów Zarząd Okręgowy, ul. Wieniawska 13, 20 - 071 Lublin</t>
  </si>
  <si>
    <t>1.7 Wydział Zarządzania Kryzysowego, Ochrony Ludności i Spraw Obronnych</t>
  </si>
  <si>
    <t>Zakup usług remontowych - remonty pomieszczeń</t>
  </si>
  <si>
    <t>prowadzenie Dziennego Ośrodka Wsparcia dla Bezdomnych przy ul. 1-go Maja 51</t>
  </si>
  <si>
    <t>organizacja imprez i obozów profilaktyczno - edukacyjnych</t>
  </si>
  <si>
    <t>prowadzenie świetlic socjoterapeutycznych</t>
  </si>
  <si>
    <t>działalność Zespołu Zintegrowanej Pomocy Rodzinie funkcjonującego przy MOPR</t>
  </si>
  <si>
    <t>prowadzenie punktów konsultacyjnych</t>
  </si>
  <si>
    <t>szkolenia pracowników</t>
  </si>
  <si>
    <t>inwestycje - modernizacje szkół</t>
  </si>
  <si>
    <t>Gimnazjum Nr 11</t>
  </si>
  <si>
    <t>Specjalny Ośrodek Szkolno - Wychowawczy Nr 2</t>
  </si>
  <si>
    <t>Specjalny Ośrodek Szkolno - Wychowawczy Nr 1</t>
  </si>
  <si>
    <t>Przedszkole Nr 40</t>
  </si>
  <si>
    <t>stypendia oraz inne formy pomocy dla uczniów</t>
  </si>
  <si>
    <t>Remonty budynków o własności prywatnej</t>
  </si>
  <si>
    <t xml:space="preserve">Dotacja przedmiotowa z budżetu dla zakładu budżetowego </t>
  </si>
  <si>
    <t>koszty przeprowadzek i przechowywania rzeczy osób eksmitowanych oraz zakwaterowania osób poszkodowanych w wypadkach losowych</t>
  </si>
  <si>
    <t>Zasiłki i pomoc w naturze oraz składki na ubezpieczenia społeczne</t>
  </si>
  <si>
    <t>Młodzieżowy Dom Kultury</t>
  </si>
  <si>
    <t>Zespół Szkół Nr 6</t>
  </si>
  <si>
    <t>Zespół Szkół Ogólnokszt. Nr 4</t>
  </si>
  <si>
    <t>Zespół Poradni Nr 1</t>
  </si>
  <si>
    <t>Dział 851 - Ochrona zadrowia, rozdz. 85154 - Przeciwdziałanie alkoholizmowi</t>
  </si>
  <si>
    <t>Nazwa zadania/Nazwa placówki</t>
  </si>
  <si>
    <t>Przedszkole Nr 63</t>
  </si>
  <si>
    <t>Przedszkole Nr 78</t>
  </si>
  <si>
    <t>Specjalny Ośrodek Szkolno-Wychowawczy Nr 1</t>
  </si>
  <si>
    <t xml:space="preserve">Udzielanie rodzinom, w których występują problemy alkoholowe pomocy psychospołecznej i prawnej, 
a w szczególności ochrony przed przemocą 
w rodzinie                                                          </t>
  </si>
  <si>
    <t xml:space="preserve">Prowadzenie profilaktycznej działalności informacyjnej i edukacyjnej, w szczególności dla dzieci i młodzieży                            </t>
  </si>
  <si>
    <t>§ 4420</t>
  </si>
  <si>
    <t>Gimnazjum Nr 18</t>
  </si>
  <si>
    <t>Gimnazjum Nr 2</t>
  </si>
  <si>
    <t>Gimnazjum Nr 5</t>
  </si>
  <si>
    <t>Gimnzajum Nr 16</t>
  </si>
  <si>
    <t>Zespół Szkół Ogólnokształcących Nr 1</t>
  </si>
  <si>
    <t>Zespół Szkół Ogólnokształcących Nr 2</t>
  </si>
  <si>
    <t>Zespół Szkół Ogólnokształcących Nr 4</t>
  </si>
  <si>
    <t>Zespół Szkół Ogólnokształcących Nr 5</t>
  </si>
  <si>
    <t>Ośrodek Szkolno-Wychowawczy dla Dzieci i Młodzieży Słabowidzącej</t>
  </si>
  <si>
    <t>Zespół Szkół Tranportowo-Komunikacyjnych</t>
  </si>
  <si>
    <t>Zespół Szkół Odzieżowo-Włókienniczych</t>
  </si>
  <si>
    <t xml:space="preserve">Wspomaganie działalności instytucji, stowarzyszeń i osób fizycznyh, służącej rozwiązywaniu problemów alkoholowych           </t>
  </si>
  <si>
    <t>§4270</t>
  </si>
  <si>
    <t>Lubelskie Centrum Edukacji Zawodowej</t>
  </si>
  <si>
    <t xml:space="preserve">Zespół Poradni Nr 3 </t>
  </si>
  <si>
    <t>9. Zespół Dziennych Domów Pomocy Społecznej</t>
  </si>
  <si>
    <t>11. Miejski Urząd Pracy</t>
  </si>
  <si>
    <t>12. Komenda Miejska Państwowej Straży Pożarnej</t>
  </si>
  <si>
    <t>13. Szkoły i placówki oświatowe</t>
  </si>
  <si>
    <t>Lubelski Ośrodek Psychoprofilaktyki i Terapii,
ul. Radziszewskiego 2/18, 20 - 036 Lublin</t>
  </si>
  <si>
    <t>Stowarzyszenie im. A. Stanowskiego, ul. Wieniawska 15 a, 
20-071 Lublin, Klub Animatorów CHATA</t>
  </si>
  <si>
    <t>Parafia Rzymsko - Katolicka p.w. Św. Krzyża, ul. Pogodna 7, 
20 - 337 Lublin</t>
  </si>
  <si>
    <t>Fundacja "Szczęśliwe Dzieciństwo", ul. Jezuicka 4/9, 
20 - 113 Lublin</t>
  </si>
  <si>
    <t xml:space="preserve">Fundacja "Uśmiech dziecka", ul. Północna 159, 20 - 822 Lublin </t>
  </si>
  <si>
    <t xml:space="preserve">Fundacja "PRAESTERNO", ul. Czerniakowska 25, 
00 - 714 Warszawa </t>
  </si>
  <si>
    <t>Polski Związek Głuchych Zarząd Oddziału Lubelskiego
ul. Leszczyńskiego 50,  20 - 068 Lublin</t>
  </si>
  <si>
    <t>Międzyszkolny Klub Sportowy Towarzystwo Piłki Ręcznej,
Al. Zygmuntowskie 4 a/27, 20 - 101 Lublin</t>
  </si>
  <si>
    <t>Wschodnie Towarzystwo Miłośników Kolei Żelaznych,
ul. Olchowa 5/66, 20 - 355 Lublin</t>
  </si>
  <si>
    <t>Uczniowski Klub Sportowy "OMEGA", ul. Biedronki 9/31, 
20 - 543 Lublin</t>
  </si>
  <si>
    <t>Towarzystwo Sportowo - Turystyczne "SOKOLIK",
ul. Łabędzia 16, 20 - 335 Lublin</t>
  </si>
  <si>
    <t>Stowarzyszenie Harcerstwa Katolickiego "Zawisza",
ul. Podwale 15, 20 - 117 Lublin</t>
  </si>
  <si>
    <t>Stowarzyszenie "Trzeźwe życie", ul. Pogodna 30/18, 
20 -333 Lublin</t>
  </si>
  <si>
    <t>Klub Animatorów CHATA, ul. Grygowej 4 b, 20 - 260 Lublin</t>
  </si>
  <si>
    <t>Stowarzyszenie "SKAUT", ul. Głęboka 11, 20 - 612 Lublin</t>
  </si>
  <si>
    <t>Wodniacki Uczniowski Klub Sportowy SP 30 w Lublinie,
ul. Nałkowskich 78, 20 - 470 Lublin</t>
  </si>
  <si>
    <t>Polski Czerwony Krzyż  Zarząd Miejski, ul. Niecała 7 b, 
20 - 950 Lublin</t>
  </si>
  <si>
    <t>Stowarzyszenie "STOP", ul. Towarowa 19, 20 - 205 Lublin</t>
  </si>
  <si>
    <t>Parafia Rzymsko - Katolicka p.w. Św. Krzyża,
ul. Pogodna 7, 20 - 337 Lublin</t>
  </si>
  <si>
    <t>Instytut Akcji Katolickiej Archidiecezji Lubelskiej Oddział przy Parafii p.w. Św. Antoniego, ul. Kasztanowa 1, 20 - 245 Lublin</t>
  </si>
  <si>
    <t>Instytut Akcji Katolickiej Archidiecezji Lubelskiej Oddział przy Parafii p.w. Bł. U. Ledóchowskiej, ul. Roztocze 1, 
20 - 729 Lublin</t>
  </si>
  <si>
    <t>Instytut Akcji Katolickiej Archidiecezji Lubelskiej Oddział przy Parafii p.w. Św. Rodziny, ul. Jana Pawła II 11, 20 - 535 Lublin</t>
  </si>
  <si>
    <t>Instytut Akcji Katolickiej Archidiecezji Lubelskiej Oddział przy Parafii p.w. Św. Maksymiliana, ul. Dr. Męcz. Majdanka 27, 
20 - 325 Lublin</t>
  </si>
  <si>
    <t>Zgromadzenie Sióstr Dominikanek Matki Bożej Różańcowej Dom Radości Dominik, ul. Lawendowa 15, 20 - 827 Lublin</t>
  </si>
  <si>
    <t>Rzymsko - Katolicka Parafia Archikatedralna p.w. Św. Jana Chrzciciela i Św. Jana Ewangelisty, ul. Królewska 10, 
20 - 109 Lublin</t>
  </si>
  <si>
    <t>Parafia Rzymsko Katolicka p.w. Św. Teresy od Dzieciątka Jezus, ul. Krochmalna 47, 20 - 401 Lublin</t>
  </si>
  <si>
    <t>Społeczna Akcja Pomocy Dzieciom i Młodzieży Domu Księży Salezjanów, ul. Pawłowa 34, 20 - 455 Lublin</t>
  </si>
  <si>
    <t>Caritas Archidiecezji Lubelskiej, ul. St. Wyszyńskiego 2, 
20 - 950 Lublin</t>
  </si>
  <si>
    <t>Stowarzyszenie "Kontakt",ul. Nałęczowska 25, 20 - 701 Lublin</t>
  </si>
  <si>
    <t>Stowarzyszenie Klub Abstynenta "Radość", ul. Krzywa 1, 
20 - 124 Lublin</t>
  </si>
  <si>
    <t>Stowarzyszenie Trzeźwościowe "RODZINA",
ul. Jana Pawła II 11, 20 - 535 Lublin</t>
  </si>
  <si>
    <t>realizacja zadań wynikających z uchwalonej przez Radę Miasta strategii na rzecz osób niepełnosprawnych, z tego:</t>
  </si>
  <si>
    <t>rehabilitacja osób niepełnosprawnych zwiększająca ich samodzielnośc fizyczną i psychiczną</t>
  </si>
  <si>
    <t>Szkoła Podstawowa Nr 28</t>
  </si>
  <si>
    <t>Różne jednostki obsługi gospodarki mieszkaniowej</t>
  </si>
  <si>
    <t>koszty przeprowadzek i przechowywania rzeczy osób eksmitowanych oraz zakwaterowania osób poszkodowanych 
w wypadkach losowych</t>
  </si>
  <si>
    <t>Szkoła Podstawowa Nr 32</t>
  </si>
  <si>
    <t>Szkoła Podstawowa Nr 16</t>
  </si>
  <si>
    <t>Państwowe Szkoły Budownictwa i Geodezji 
(XI Liceum Ogólnokształcące)</t>
  </si>
  <si>
    <t>II Liceum Ogólnokształcące</t>
  </si>
  <si>
    <t>Zespół Szkół Transportowo-Komunikacyjnych</t>
  </si>
  <si>
    <t>pozostałe zadania realizowane w ramach Gminnego Programu Przeciwdziałania Narkomanii</t>
  </si>
  <si>
    <t>zadania realizowane w ramach Gminnego Programu Profilaktyki 
i Rozwiązywania Problemów Alkoholowych, z tego:</t>
  </si>
  <si>
    <t>w tym promocja i informacja gospodarcza - 60.000 zł</t>
  </si>
  <si>
    <t>inwestycje, z tego:</t>
  </si>
  <si>
    <t>organizacja szkoleń i kursów przygotowujących do profesjonalnej pracy z osobami niepełnosprawnymi</t>
  </si>
  <si>
    <t>integracja osób niepełnosprawnych ze społecznością Lublina</t>
  </si>
  <si>
    <t>realizacja programów promujących osiągnięcia osób niepełnosprawnych w różnych sferach życia społecznego</t>
  </si>
  <si>
    <t>pozostałe zadania wynikające ze strategii działań na rzecz osób niepełnosprawnych</t>
  </si>
  <si>
    <t>realizacja programów zwiększających świadomość mieszkańców Lublina o przyczynach i skutkach powstawania niepełnosprawności oraz sposobów jej zapobiegania, w szczególności edukacja dzieci i młodzieży w tym zakresie</t>
  </si>
  <si>
    <t>Lubelski Ośrodek Samopomocy, ul. Zielona 3, 20 - 082 Lublin</t>
  </si>
  <si>
    <t>Lubelskie Stowarzyszenie Ochrony Zdrowia Psychicznego, 
ul. Gospodarcza 32, 20 - 213 Lublin</t>
  </si>
  <si>
    <t>Polskie Stowarzyszenie Diabetyków Oddział Wojewódzki,
ul. Jana Sawy 3, 20 - 950 Lublin</t>
  </si>
  <si>
    <t>Lubelskie Stowarzyszenie Stwardnienia Rozsianego,
ul. Nałkowskich 114, 20 - 314 Lublin</t>
  </si>
  <si>
    <t>Związek Harcerstwa Polskiego, ul. Lubartowska 39/10, 
20 - 116 Lublin</t>
  </si>
  <si>
    <t>Polskie Stowarzyszenie na Rzecz Osób z Upośledzeniem Umysłowym Koło w Lublinie, ul. Rogowskiego 5, 20 - 840 Lublin</t>
  </si>
  <si>
    <t>Towarzystwo Wolnej Wszechnicy Polskiej Oddział Lublin,
ul. I Armii WP 3/24, 20 - 078 Lublin</t>
  </si>
  <si>
    <t>Fundacja "DAJ MI SZANSĘ", ul. Przyjaźni 20, 20 - 314 Lublin</t>
  </si>
  <si>
    <t>Fundacja na Rzecz Osób Niepełnosprawnych "TACY SAMI",
ul. Narutowicza 74 a, 20 - 019 Lublin</t>
  </si>
  <si>
    <t>Polski Związek Niewidomych, ul. Wieniawska 13, 
20 - 071 Lublin</t>
  </si>
  <si>
    <t>Stowarzyszenie Niewidomych Cywilnych Ofiar Wojny Zarząd Okręgu, ul. Głowackiego 35, 20 - 060 Lublin</t>
  </si>
  <si>
    <t>Lubelskie Stowarzyszenie Ochrony Zdrowia Psychicznego,
ul. Gospodarcza 32, 20 - 213 Lublin</t>
  </si>
  <si>
    <t>Stowarzyszenie Forum Edukacji i Terapii,
ul. Królewska 13/22, 20 - 109 Lublin</t>
  </si>
  <si>
    <t>Stowarzyszenie Rodziców Dzieci z Wadą Serca "Serce Dziecka", ul. Szwajcarska 6, 20 - 861 Lublin</t>
  </si>
  <si>
    <t xml:space="preserve">Stowarzyszenie na Rzecz Dzieci i Młodzieży Niepełnosprawnej Ruchowo, ul. Doświadczalna 46, 20 - 236 Lublin </t>
  </si>
  <si>
    <t>Stowarzyszenie Rodzin Dzieci Niepełnosprawnych "NASZA SZANSA", ul. Rynek 13, 20 - 111 Lublin</t>
  </si>
  <si>
    <t>Lubelski Klub Sportowy Głuchych "SPARTAN",
ul. Piłsudskiego 22, 20 - 011 Lublin</t>
  </si>
  <si>
    <t>Stowarzyszenie Chorych na Astmę Oskrzelową w Lublinie,
ul. Jaczewskiego 8, 20 - 954 Lublin</t>
  </si>
  <si>
    <t>Lubelskie Stowarzyszenie Stwardnienia Rozsianego, 
ul. Nałkowskich 114, 20 - 314 Lublin</t>
  </si>
  <si>
    <t>Stowarzyszenie Grupa Aktywnej Rehabilitacji "Rekryteringsgruppen" Region Lubelski, ul. Piłsudskiego 11, 
20 - 011 Lublin</t>
  </si>
  <si>
    <t>Towarzystwo Muzyczne im. H. Wieniawskiego,
ul. Rynek 17, 20 - 111 Lublin</t>
  </si>
  <si>
    <t>Stowarzyszenie Klub Kobiet po Mastektomii "AMAZONKI",
ul. Organowa 2, 20 - 850 Lublin</t>
  </si>
  <si>
    <t>Krajowe Towarzystwo Autyzmu Oddział Lublin,
ul. Gospodarcza 2, 20 - 950 Lublin</t>
  </si>
  <si>
    <t>Stowarzyszenie Chorych z Przepukliną Oponowo - Rdzeniową  RP Zarząd Główny, ul. Żelazowej Woli 20/39 a, 20 - 853 Lublin</t>
  </si>
  <si>
    <t>Lubelskie Forum Organizacji Osób Niepełnosprawnych - Sejmik Wojewódzki, ul. Rynek 13, 20 - 111 Lublin</t>
  </si>
  <si>
    <t>Towarzystwo Oświatowe im. Stefana Batorego,
ul. Przyjaźni 20, 20 - 314 Lublin</t>
  </si>
  <si>
    <t>Załącznik Nr 2</t>
  </si>
  <si>
    <t>(nazwa działu, rozdziału, zadania)</t>
  </si>
  <si>
    <t>prowadzenie profilaktycznej działalności informacyjnej 
i edukacyjnej, w szczególności dla dzieci i młodzieży</t>
  </si>
  <si>
    <t>Różne rozliczenia</t>
  </si>
  <si>
    <t>rezerwa budżetowa</t>
  </si>
  <si>
    <t>Rezerwy ogólne i celowe</t>
  </si>
  <si>
    <t xml:space="preserve">Rezerwy </t>
  </si>
  <si>
    <t>1.2 Wydział Geodezji i Gospodarki Nieruchomościami</t>
  </si>
  <si>
    <t>Zakup leków i materiałów medycznych</t>
  </si>
  <si>
    <t>wydatki związane z promocją miasta</t>
  </si>
  <si>
    <t>w tym promocja i informacja gospodarcza</t>
  </si>
  <si>
    <t>Ochotnicze straże pożarne</t>
  </si>
  <si>
    <t>Straż Miejska</t>
  </si>
  <si>
    <t>wydatki Ochotniczej Straży Pożarnej w Głusku i OSP - Ratownictwo Wodne w Lublinie</t>
  </si>
  <si>
    <t>1.8 Komenda Straży Miejskiej</t>
  </si>
  <si>
    <t xml:space="preserve">Zakup usług remontowych - remonty szkół </t>
  </si>
  <si>
    <t>Specjalne ośrodki szkolno - wychowawcze</t>
  </si>
  <si>
    <t>wydatki Ochotniczej Straży Pożarnej w Głusku i OSP - Ratownictwo Wodne 
w Lublinie</t>
  </si>
  <si>
    <t>Składki na ubezpieczenie zdrowotne oraz świadczenia dla osób nie objętych obowiązkiem ubezpieczenia zdrowotnego</t>
  </si>
  <si>
    <t>Załącznik Nr 5</t>
  </si>
  <si>
    <t xml:space="preserve">inwestycje </t>
  </si>
  <si>
    <t>Różne wydatki na rzecz osób fizycznych</t>
  </si>
  <si>
    <t xml:space="preserve">Wydatki na zakupy inwestycyjne jednostek budżetowych </t>
  </si>
  <si>
    <t xml:space="preserve">Plan według uchwały    
Nr 27/III/2003                              
Rady Miasta Lublin
z 30.01.2003 r.    
z późn. zmian.    </t>
  </si>
  <si>
    <t xml:space="preserve"> związanych z realizacją powyższych zadań na 2003 rok</t>
  </si>
  <si>
    <t>Harmonogram realizacji dochodów budżetu miasta w 2003 roku</t>
  </si>
  <si>
    <t>Harmonogram realizacji wydatków budżetu miasta w 2003 roku</t>
  </si>
  <si>
    <t>Prezydenta Miasta Lublin</t>
  </si>
  <si>
    <r>
      <t xml:space="preserve">Dochody                                                                                                                                            </t>
    </r>
    <r>
      <rPr>
        <sz val="10"/>
        <rFont val="Arial CE"/>
        <family val="2"/>
      </rPr>
      <t>(Nazwa działu, rozdziału, źródła dochodów, paragrafu)</t>
    </r>
  </si>
  <si>
    <t>I Dochody gminy ogółem, z tego:</t>
  </si>
  <si>
    <t>Subwencje</t>
  </si>
  <si>
    <t>Dotacje celowe na finansowanie zadań gminy przejętych w drodze porozumienia</t>
  </si>
  <si>
    <t>Dotacje celowe otrzymane z budżetu państwa na realizację własnych zadań bieżących gmin</t>
  </si>
  <si>
    <t xml:space="preserve">Dotacje celowe z budżetu państwa na zadania zlecone z zakresu administracji rządowej </t>
  </si>
  <si>
    <t xml:space="preserve">Plan według uchwały    
Nr 27/III/2003                              
Rady Miasta Lublin
z 30.01.2003 r.  
z późn. zmian.                    </t>
  </si>
  <si>
    <t>gospodarka nieruchomościami</t>
  </si>
  <si>
    <t>Leśnictwo</t>
  </si>
  <si>
    <t>02002</t>
  </si>
  <si>
    <t>Nadzór nad gospodarką leśną</t>
  </si>
  <si>
    <t>zadania w zakresie nadzoru nad lasami</t>
  </si>
  <si>
    <t>bieżące utrzymanie dróg</t>
  </si>
  <si>
    <t>eksploatacja bieżąca i konserwacja kanalizacji deszczowej</t>
  </si>
  <si>
    <t>opłata za korzystanie ze środowiska</t>
  </si>
  <si>
    <t>Opłaty na rzecz budżetów jednostek samorządu terytorialnego</t>
  </si>
  <si>
    <t>konserwacja i obsługa urządzeń oświetlenia</t>
  </si>
  <si>
    <t>1.9 Wydział Organizacyjny</t>
  </si>
  <si>
    <t>Prezydenta Miasta Lublina</t>
  </si>
  <si>
    <t>Wydatki na zadania realizowane na podstawie porozumień 
i umów</t>
  </si>
  <si>
    <t>Zakup pomocy naukowych, dydaktycznych i książek</t>
  </si>
  <si>
    <t>Zakup usług remontowych - remonty obiektów</t>
  </si>
  <si>
    <t>Dochody</t>
  </si>
  <si>
    <t>Zmniejszenie</t>
  </si>
  <si>
    <t>Zwiększenie</t>
  </si>
  <si>
    <t>1.1 Wydział Finansowy</t>
  </si>
  <si>
    <t>I Dochody gminy ogółem, w tym:</t>
  </si>
  <si>
    <t>II. Dochody powiatu ogółem, w tym:</t>
  </si>
  <si>
    <t>Ogółem</t>
  </si>
  <si>
    <t>1.3 Wydział Gospodarki Komunalnej</t>
  </si>
  <si>
    <t xml:space="preserve">                  Wydatki</t>
  </si>
  <si>
    <t>Świadczenia społeczne</t>
  </si>
  <si>
    <t>dodatki mieszkaniowe</t>
  </si>
  <si>
    <t>w tym z budżetu miasta</t>
  </si>
  <si>
    <t xml:space="preserve">stypendia oraz inne formy pomocy dla uczniów </t>
  </si>
  <si>
    <t xml:space="preserve">Stypendia oraz inne formy pomocy dla uczniów </t>
  </si>
  <si>
    <t>pomoc materialna dla młodzieży wiejskiej</t>
  </si>
  <si>
    <t xml:space="preserve">Gospodarka komunalna i ochrona środowiska </t>
  </si>
  <si>
    <t>Gospodarka ściekowa i ochrona wód</t>
  </si>
  <si>
    <t>Wydatki na zadania realizowane na podstawie porozumień i umów</t>
  </si>
  <si>
    <t>Wydatki na zadania zlecone</t>
  </si>
  <si>
    <t>Wydatki na zadania ustawowo zlecone gminie</t>
  </si>
  <si>
    <t>Wydatki na zadania z zakresu administracji rządowej wykonywane przez powiat</t>
  </si>
  <si>
    <t>Wydatki</t>
  </si>
  <si>
    <t>z tego:</t>
  </si>
  <si>
    <t>Pozostała działalność</t>
  </si>
  <si>
    <t>Oświata i wychowanie</t>
  </si>
  <si>
    <t>Szkoły podstawowe</t>
  </si>
  <si>
    <t>Ochrona zdrowia</t>
  </si>
  <si>
    <t>Opieka społeczna</t>
  </si>
  <si>
    <t>Dochody budżetu miasta ogółem</t>
  </si>
  <si>
    <t>Dochody własne</t>
  </si>
  <si>
    <t>II. Dochody powiatu ogółem, z tego:</t>
  </si>
  <si>
    <t xml:space="preserve">Treść   </t>
  </si>
  <si>
    <t>Dodatki mieszkaniowe</t>
  </si>
  <si>
    <t>Gospodarka komunalna i ochrona środowiska</t>
  </si>
  <si>
    <t>Oświetlenie ulic, placów i dróg</t>
  </si>
  <si>
    <t>Usługi opiekuńcze i specjalistyczne usługi opiekuńcze</t>
  </si>
  <si>
    <t>Edukacyjna opieka wychowawcza</t>
  </si>
  <si>
    <t>Dotacje celowe i inne środki na zadania własne</t>
  </si>
  <si>
    <t xml:space="preserve">Rozdz.      </t>
  </si>
  <si>
    <t>Dział</t>
  </si>
  <si>
    <t>Plan</t>
  </si>
  <si>
    <t>§</t>
  </si>
  <si>
    <t>Dotacje celowe otrzymane z budżetu państwa na realizację bieżących zadań własnych powiatu</t>
  </si>
  <si>
    <t>w złotych</t>
  </si>
  <si>
    <t>Przeciwdziałanie alkoholizmowi</t>
  </si>
  <si>
    <t>Dotacje celowe otrzymane z budżetu państwa na zadania bieżące z zakresu administracji rządowej oraz inne zadania zlecone ustawami realizowane przez powiat</t>
  </si>
  <si>
    <t>Dotacje celowe na zadania realizowane w drodze porozumień i umów</t>
  </si>
  <si>
    <t xml:space="preserve">Dotacje celowe z budżetu państwa na zadania z zakresu administracji rządowej </t>
  </si>
  <si>
    <t>Zmniejszenia</t>
  </si>
  <si>
    <t>Zwiększenia</t>
  </si>
  <si>
    <t xml:space="preserve">dotacja celowa z budżetu państwa na dofinansowanie wypłat dodatków mieszkaniowych </t>
  </si>
  <si>
    <t>Pomoc materialna dla uczniów</t>
  </si>
  <si>
    <t xml:space="preserve">Dotacje celowe otrzymane z budżetu państwa na realizację bieżących zadań własnych powiatu </t>
  </si>
  <si>
    <t xml:space="preserve">Plan </t>
  </si>
  <si>
    <t>Treść</t>
  </si>
  <si>
    <t>po zmianach</t>
  </si>
  <si>
    <t>Rozdz.</t>
  </si>
  <si>
    <t>(nazwa działu, rozdziału, zadania, paragrafu)</t>
  </si>
  <si>
    <t>Wydatki ogółem</t>
  </si>
  <si>
    <t>Wydatki na zadania własne</t>
  </si>
  <si>
    <t>Zakup usług pozostałych</t>
  </si>
  <si>
    <t>Wydatki inwestycyjne jednostek budżetowych</t>
  </si>
  <si>
    <t>Zakup energii</t>
  </si>
  <si>
    <t>Kary i odszkodowania wypłacane na rzecz osób fizycznych</t>
  </si>
  <si>
    <t>inwestycje</t>
  </si>
  <si>
    <t>Wydatki na zakupy inwestycyjne jednostek budżetowych</t>
  </si>
  <si>
    <t>Składki na ubezpieczenia społeczne</t>
  </si>
  <si>
    <t>Składki na Fundusz Pracy</t>
  </si>
  <si>
    <t>Zakup materiałów i wyposażenia</t>
  </si>
  <si>
    <t>Podróże służbowe krajowe</t>
  </si>
  <si>
    <t>Podróże służbowe zagraniczne</t>
  </si>
  <si>
    <t>wynagrodzenia osobowe</t>
  </si>
  <si>
    <t>Wynagrodzenia osobowe pracowników</t>
  </si>
  <si>
    <t>Dodatkowe wynagrodzenie roczne</t>
  </si>
  <si>
    <t>wydatki rzeczowe</t>
  </si>
  <si>
    <t>Nagrody i wydatki osobowe nie zaliczone do wynagrodzeń</t>
  </si>
  <si>
    <t>Różne opłaty i składki</t>
  </si>
  <si>
    <t>Odpisy na zakładowy fundusz świadczeń socjalnych</t>
  </si>
  <si>
    <t>pochodne od wynagrodzeń</t>
  </si>
  <si>
    <t>Załącznik Nr 3</t>
  </si>
  <si>
    <t>Wydatki majątkowe</t>
  </si>
  <si>
    <t>Dz.</t>
  </si>
  <si>
    <t xml:space="preserve">Rozdz.                          </t>
  </si>
  <si>
    <t>Nazwa: działu, rozdziału, zadania inwestycyjnego</t>
  </si>
  <si>
    <t>ze środków własnych budżetu miasta</t>
  </si>
  <si>
    <t>z budżetu państwa</t>
  </si>
  <si>
    <t>Zmiany</t>
  </si>
  <si>
    <t>inwestycji po zmianach</t>
  </si>
  <si>
    <t>Ogółem wydatki majątkowe</t>
  </si>
  <si>
    <t>Transport i łączność</t>
  </si>
  <si>
    <t>Drogi publiczne w miastach na prawach powiatu</t>
  </si>
  <si>
    <t>Drogi publiczne gminne</t>
  </si>
  <si>
    <t>Administracja publiczna</t>
  </si>
  <si>
    <t>zakupy inwestycyjne</t>
  </si>
  <si>
    <t>modernizacje szkół</t>
  </si>
  <si>
    <t>Gimnazja</t>
  </si>
  <si>
    <t>Szkoły zawodowe</t>
  </si>
  <si>
    <t>Domy pomocy społecznej</t>
  </si>
  <si>
    <t>Powiatowe urzędy pracy</t>
  </si>
  <si>
    <t>Placówki wychowania pozaszkolnego</t>
  </si>
  <si>
    <t>Załącznik Nr 4</t>
  </si>
  <si>
    <t>Remonty</t>
  </si>
  <si>
    <t xml:space="preserve">Nazwa: działu, rozdziału, zadania </t>
  </si>
  <si>
    <t>Plan po zmianach</t>
  </si>
  <si>
    <t>Ogółem remonty</t>
  </si>
  <si>
    <t>Zadania własne</t>
  </si>
  <si>
    <t>Gospodarka mieszkaniowa</t>
  </si>
  <si>
    <t>remonty szkół</t>
  </si>
  <si>
    <t>Centra kształcenia ustawicznego i praktycznego oraz ośrodki dokształcania zawodowego</t>
  </si>
  <si>
    <t>remonty obiektów</t>
  </si>
  <si>
    <t>Internaty i bursy szkolne</t>
  </si>
  <si>
    <t>Zadania z zakresu administracji rządowej wykonywane przez powiat</t>
  </si>
  <si>
    <t>Bezpieczeństwo publiczne i ochrona przeciwpożarowa</t>
  </si>
  <si>
    <t>Załącznik Nr 11</t>
  </si>
  <si>
    <t>Plan finansowy zadań z zakresu administracji rządowej i innych zadań zleconych ustawami</t>
  </si>
  <si>
    <t xml:space="preserve"> oraz plan dochodów, które podlegają przekazaniu do budżetu państwa</t>
  </si>
  <si>
    <t>Plan dochodów 
po zmianach</t>
  </si>
  <si>
    <t>Plan wydatków 
po zmianach</t>
  </si>
  <si>
    <t xml:space="preserve">Rozdz. </t>
  </si>
  <si>
    <t>wydatki związane z utrzymaniem zasobów komunalnych, sprzedażą mienia komunalnego oraz szacunki nieruchomości</t>
  </si>
  <si>
    <t>Gospodarka gruntami i nieruchomościami</t>
  </si>
  <si>
    <t xml:space="preserve">Zmniejszenie </t>
  </si>
  <si>
    <t>Zadania zlecone ogółem</t>
  </si>
  <si>
    <t>Komendy powiatowe Państwowej Straży Pożarnej</t>
  </si>
  <si>
    <t>Dochody budżetu państwa związane z realizacją zadań zlecanych jednostkom samorządu terytorialnego</t>
  </si>
  <si>
    <t>Treść                                                                                                                   (nazwa działu, rozdziału)</t>
  </si>
  <si>
    <t>I kwartał</t>
  </si>
  <si>
    <t>II kwartał</t>
  </si>
  <si>
    <t>III kwartał</t>
  </si>
  <si>
    <t>IV kwartał</t>
  </si>
  <si>
    <t>Dochody ogółem</t>
  </si>
  <si>
    <t>Dochody gminy, z tego:</t>
  </si>
  <si>
    <t>Świetlice szkolne</t>
  </si>
  <si>
    <t>Przedszkola specjalne</t>
  </si>
  <si>
    <t>Dotacje celowe z budżetu państwa na zadania zlecone 
z zakresu administracji rządowej</t>
  </si>
  <si>
    <t>Gimnazja specjalne</t>
  </si>
  <si>
    <t>Specjalne ośrodki szkolno-wychowawcze</t>
  </si>
  <si>
    <t>Szkolne schroniska młodzieżowe</t>
  </si>
  <si>
    <t>Dotacje celowe z budżetu państwa na zadania z zakresu administracji rządowej</t>
  </si>
  <si>
    <t>(nazwa działu, rozdziału)</t>
  </si>
  <si>
    <t>Przedszkola przy szkołach podstawowych</t>
  </si>
  <si>
    <t>Dowożenie uczniów do szkół</t>
  </si>
  <si>
    <t>Kultura fizyczna i sport</t>
  </si>
  <si>
    <t>Zadania w zakresie kultury fizycznej i sportu</t>
  </si>
  <si>
    <t>85315</t>
  </si>
  <si>
    <t>85415</t>
  </si>
  <si>
    <t>Obiekty sportowe</t>
  </si>
  <si>
    <t>I Liceum Ogólnokształcące</t>
  </si>
  <si>
    <t>Pomoc dla repatriantów</t>
  </si>
  <si>
    <t>wydatki związane z pomocą udzielaną repatriantom</t>
  </si>
  <si>
    <t>85334</t>
  </si>
  <si>
    <t xml:space="preserve">            według jednostek organizacyjnych realizujących budżet</t>
  </si>
  <si>
    <t>Załącznik Nr 9</t>
  </si>
  <si>
    <t>Załącznik Nr 8</t>
  </si>
  <si>
    <t>Załącznik Nr 10</t>
  </si>
  <si>
    <t>Kultura i ochrona dziedzictwa narodowego</t>
  </si>
  <si>
    <t>Załącznik Nr 1</t>
  </si>
  <si>
    <t>prowadzenie profilaktycznej działalności informacyjnej i edukacyjnej, 
w szczególności dla dzieci i młodzieży</t>
  </si>
  <si>
    <t>020</t>
  </si>
  <si>
    <t>z dnia 31 marca 2003 roku</t>
  </si>
  <si>
    <t>1. Urząd Miasta</t>
  </si>
  <si>
    <t xml:space="preserve">Ośrodek Szkolno - Wychowawczy dla Dzieci i Młodzieży Słabowidzącej </t>
  </si>
  <si>
    <t xml:space="preserve">Ośrodek Szkolno - Wychowawczy dla Dzieci i Młodzieży Niesłyszącej i Słabo Słyszącej </t>
  </si>
  <si>
    <t>Stypendia oraz inne formy pomocy dla uczniów</t>
  </si>
  <si>
    <t>Zakup usług remontowych - remonty szkół</t>
  </si>
  <si>
    <t>IX Liceum Ogólnokształcące</t>
  </si>
  <si>
    <t>Zespół Szkół Chemicznych</t>
  </si>
  <si>
    <t>Zespół Szkół Ekonomicznych</t>
  </si>
  <si>
    <t>1.10 Biuro Promocji Miasta</t>
  </si>
  <si>
    <t>1.4 Wydział Oświaty i Wychowania</t>
  </si>
  <si>
    <t>1.5 Wydział Spraw Społecznych</t>
  </si>
  <si>
    <t>1.6 Wydział Strategii i Rozwoju</t>
  </si>
  <si>
    <t>Galerie i biura wystaw artystycznych</t>
  </si>
  <si>
    <t>remont pomieszczeń</t>
  </si>
  <si>
    <t>Dotacja podmiotowa z budżetu dla instytucji kultury</t>
  </si>
  <si>
    <t>Dotacje celowe z budżetu na finansowanie lub dofinansowanie kosztów realizacji inwestycji i zakupów inwestycyjnych innych jednostek sektora finansów publicznych</t>
  </si>
  <si>
    <t>remonty lokali objętych umową najmu i dzierżawy</t>
  </si>
  <si>
    <t>remonty urządzeń oświetlenia</t>
  </si>
  <si>
    <t xml:space="preserve">Plan według uchwały    
Nr 27/III/2003                              
Rady Miasta Lublin
z 30.01.2003 r.     </t>
  </si>
  <si>
    <t xml:space="preserve">Plan według uchwały    
Nr 27/III/2003                              
Rady Miasta Lublin
z 30.01.2003 r.    </t>
  </si>
  <si>
    <t xml:space="preserve">Dochody
według uchwały    
Nr 27/III/2003                              
Rady Miasta Lublin
z 30.01.2003 r.   </t>
  </si>
  <si>
    <t>Wydatki
według uchwały    
Nr 27/III/2003                              
Rady Miasta Lublin
z 30.01.2003 r.</t>
  </si>
  <si>
    <t>Plan na 2003 rok
z późn. zmian.</t>
  </si>
  <si>
    <t>Plan
na 2003 rok
z późn. zmian.</t>
  </si>
  <si>
    <t xml:space="preserve">realizacja zadań wynikających z uchwalonej przez Radę Miasta strategii działań na rzecz osób niepełnosprawnych, z tego: </t>
  </si>
  <si>
    <t>Dotacja celowa z budżetu na finansowanie lub dofinansowanie zadań zleconych do realizacji stowarzyszeniom</t>
  </si>
  <si>
    <t>rehabilitacja osób niepełnosprawnych zwiększająca ich samodzielność fizyczną i psychiczną</t>
  </si>
  <si>
    <t>Dotacja celowa z budżetu na finansowanie lub dofinansowanie zadań zleconych do realizacji fundacjom</t>
  </si>
  <si>
    <t>prowadzenie innowacyjnych zajęć edukacyjnych dla dzieci i młodzieży niepełnosprawnej</t>
  </si>
  <si>
    <t>świadczenie kompleksowego poradnictwa dla osób niepełnosprawnych i ich rodzin, w tym specjalistycznego poradnictwa z zakresu likwidacji barier architektonicznych, transportowych oraz w komunikowaniu się</t>
  </si>
  <si>
    <t>Fundacja "FUGA MUNDI", ul. Peowiaków 12, 20 - 007 Lublin</t>
  </si>
  <si>
    <t>Lubelski Związek Inwalidów Narządu Ruchu,
ul. Lubomelska 1 - 3, 20 - 072 Lublin</t>
  </si>
  <si>
    <t>Polski Związek Głuchych, ul. Leszczyńskiego 50, 20 - 068 Lublin</t>
  </si>
  <si>
    <t>wspieranie aktywności społeczno-zawodowej osób niepełnosprawnych, w szczególności: prowadzenie specjalistycznych kursów i szkoleń przygotowujących osoby niepełnosprawne do podjęcia pracy, prowadzenie kawiarenki internetowej dla osób niepełnosprawnych</t>
  </si>
  <si>
    <t>Charytatywne Stowarzyszenie Niesienia Pomocy Chorym "Misericordia", ul. Abramowicka 2, 20 - 442 Lublin</t>
  </si>
  <si>
    <t>Krajowe Towarzystwo Autyzmu Oddział w Lublinie,
ul. Gospodarcza 2, 20 - 950 Lublin</t>
  </si>
  <si>
    <t>Polski Związek Niewidomych, ul. Wieniawska 13, 20 - 071 Lublin</t>
  </si>
  <si>
    <t>Polski Czerwony Krzyż, ul. Niecała 7 b, 20 - 950 Lublin</t>
  </si>
  <si>
    <t>Stowarzyszenie Ludzi Cierpiących na Padaczkę,
ul. Rynek 13, 20 - 111 Lublin</t>
  </si>
  <si>
    <t>Zwalczanie narkomanii</t>
  </si>
  <si>
    <t>zadania realizowane w ramach Gminnego Programu Profilaktyki i Rozwiązywania Problemów Alkoholowych, z tego:</t>
  </si>
  <si>
    <t>zadania realizowane w ramach Gminnego Programu Przeciwdziałania Narkomanii, z tego:</t>
  </si>
  <si>
    <t>koordynacja działań w zakresie zapobiegania narkomanii</t>
  </si>
  <si>
    <t>Katolickie Stowarzyszenie Pomocy Uzależnionym "AGAPE", ul. Bernardyńska 5, 20 - 109 Lublin</t>
  </si>
  <si>
    <t>Stowarzyszenie "KONTAKT", ul. Nałęczowska 25, 20 - 701 Lublin</t>
  </si>
  <si>
    <t>działania w zakresie profilaktyki</t>
  </si>
  <si>
    <t>Klub Sportowy "UNIA", ul. Szmaragdowa 46/20, 20 - 570 Lublin</t>
  </si>
  <si>
    <t>Wodniacki Klub Sportowy SP 30 w Lublinie, ul. Nałkowskich 78,
20 - 015 Lublin</t>
  </si>
  <si>
    <t>Stowarzyszenie "NOWE ŻYCIE", ul. Środkowa 13/65, 
20 - 015 Lublin</t>
  </si>
  <si>
    <t>Lubelskie Towarzystwo Zapobiegania Patologiom Społecznym "KUŹNIA", ul. Samsonowicza 25, 20 - 485 Lublin</t>
  </si>
  <si>
    <t>Polski Czerwony Krzyż, ul. Niecała 7b, 20 - 950 Lublin</t>
  </si>
  <si>
    <t>Związek Harcerstwa Rzeczypospolitej Okręg Lubelski, 
ul. Królewska 10, 20 - 109 Lublin</t>
  </si>
  <si>
    <t>Dotacja celowa z budżetu na finansowanie lub dofinansowanie zadań zleconych do realizacji pozostałym jednostkom nie zaliczanym do sektora finansów publicznych</t>
  </si>
  <si>
    <t>działania z zakresu leczenia i rehabilitacji osób uzależnionych od narkotyków</t>
  </si>
  <si>
    <t>Towarzystwo Rodzin i Przyjaciół Dzieci Uzależnionych "POWRÓT Z U", ul. Kleeberga 14, 20 - 109 Lublin</t>
  </si>
  <si>
    <t>prowadzenie profilaktycznej działalności informacyjnej i edukacyjnej, w szczególności dla dzieci i młodzieży</t>
  </si>
  <si>
    <t>wspomaganie działalności instytucji, stowarzyszeń i osób fizycznych, służącej rozwiązywaniu problemów alkoholowych</t>
  </si>
  <si>
    <t>"NADZIEJA" Charytatywne Stowarzyszenie Niesienia Pomocy Chorym Uzależnionym od Alkoholu, ul. Abramowicka 2 f, 
20 - 442 Lublin</t>
  </si>
  <si>
    <t>udzielanie rodzinom, w których występują problemy alkoholowe pomocy psychospołecznej i prawnej, a w szczególności ochrony przed przemocą w rodzinie</t>
  </si>
  <si>
    <t>Fundacja Integracyjna "Na Tatarach", ul. Gospodarcza 7, 
20 - 213 Lublin</t>
  </si>
  <si>
    <t>Stowarzyszenie "Kontakt", ul. Nałęczowska 25, 20 - 701 Lublin</t>
  </si>
  <si>
    <t>Stowarzyszenie Trzeźwościowe "RODZINA", ul. Jana Pawła II 11, 
20 - 535 Lublin</t>
  </si>
  <si>
    <t>Stowarzyszenia Klub Abstynenta "RADOŚĆ", ul. Krzywa 1, 
20 - 124 Lublin</t>
  </si>
  <si>
    <t>Stowarzyszenie "Trzeźwe Życie", ul. Pogodna 30/18, 
20 - 333 Lublin</t>
  </si>
  <si>
    <t>Stowarzyszenie Pomocy Rodzinie Zagrożonej Patologią Społeczną "POSTIS", ul. Paderewskiego 18/118, 
20 - 860 Lublin</t>
  </si>
  <si>
    <t>Klub Abstynenta "AZYL", ul. Szewska 1, 20 - 086 Lublin</t>
  </si>
  <si>
    <t>Stowarzyszenie Rodzin Katolickich Archidiecezji Lubelskiej,
ul. Zielona 3, 20 - 082 Lublin</t>
  </si>
  <si>
    <t>Stowarzyszenie Forum Edukacji i Terapii, ul. Królewska 13/22, 
20 - 109 Lublin</t>
  </si>
  <si>
    <t>Stowarzyszenie Na Rzecz Dzieci i Młodzieży Niepełnosprawnej Ruchowo, ul. Doświadczalna 46, 20 - 236 Lublin</t>
  </si>
  <si>
    <t>Stowarzyszenie Ochrony i Pomocy Rodzinie Alkoholowej "SOPRA", ul. Sasankowa 4/8, 20 - 537 Lublin</t>
  </si>
  <si>
    <t>Załącznik Nr 6</t>
  </si>
  <si>
    <t>Podział planowanych dochodów i wydatków budżetu miasta na 2003 rok</t>
  </si>
  <si>
    <r>
      <t xml:space="preserve">Dochody                                                                                                                                            </t>
    </r>
    <r>
      <rPr>
        <sz val="10"/>
        <rFont val="Arial CE"/>
        <family val="2"/>
      </rPr>
      <t>(Nazwa działu, rozdziału, źródła dochodów)</t>
    </r>
  </si>
  <si>
    <t>Szkoła Podstawowa w os. Felin</t>
  </si>
  <si>
    <t>Szkoła Podstawowa Nr 51 w os. Widok</t>
  </si>
  <si>
    <t xml:space="preserve">Oświata i wychowanie </t>
  </si>
  <si>
    <t>Kolonie i obozy oraz inne formy wypoczynku dzieci i młodzieży szkolnej</t>
  </si>
  <si>
    <t>Licea profilowane</t>
  </si>
  <si>
    <t>1.3  Wydział Spraw Społecznych</t>
  </si>
  <si>
    <t>1.4 Wydział Strategii i Rozwoju</t>
  </si>
  <si>
    <t>1.5 Wydział Oświaty i Wychowania</t>
  </si>
  <si>
    <t>zwiększenie dostępności pomocy terapeutycznej i rehabilitacyjnej dla osób uzależnionych od alkoholu</t>
  </si>
  <si>
    <t>1. Dom Dziecka Nr 1</t>
  </si>
  <si>
    <t>2. Dom Dziecka Nr 2</t>
  </si>
  <si>
    <t>3. Dom Dziecka Nr 3</t>
  </si>
  <si>
    <t>4. Pogotowie Opiekuńcze</t>
  </si>
  <si>
    <t>5. Młodzieżowy Ośrodek Socjoterapii</t>
  </si>
  <si>
    <t>6. Dom Pomocy Społecznej "Betania"</t>
  </si>
  <si>
    <t>7. Dom Pomocy Społecznej "Kalina"</t>
  </si>
  <si>
    <t>8. Dom Pomocy Społecznej dla Osób Niepełnosprawnych Fizycznie</t>
  </si>
  <si>
    <t>10. Miejski Ośrodek Pomocy Rodzinie</t>
  </si>
  <si>
    <t>11. Szkoły i placówki oświatowe</t>
  </si>
  <si>
    <t>§ 4110</t>
  </si>
  <si>
    <t>§ 4120</t>
  </si>
  <si>
    <t>§4210</t>
  </si>
  <si>
    <t>§4240</t>
  </si>
  <si>
    <t>§ 4300</t>
  </si>
  <si>
    <t>§ 4410</t>
  </si>
  <si>
    <t>§ 3020</t>
  </si>
  <si>
    <t>Przedszkole Nr 4</t>
  </si>
  <si>
    <t>Przedszkole Nr 14</t>
  </si>
  <si>
    <t>Przedszkole Nr 33</t>
  </si>
  <si>
    <t>Przedszkole Nr 45</t>
  </si>
  <si>
    <t>Przedszkole Nr 66</t>
  </si>
  <si>
    <t>Szkoła Podstawowa Nr 29</t>
  </si>
  <si>
    <t>Zespół Szkół Nr 4</t>
  </si>
  <si>
    <t>Zespół Szkół Mechanicznych</t>
  </si>
  <si>
    <t>Przedszkole nr 66</t>
  </si>
  <si>
    <t>Szkoła Podstawowa Nr 2</t>
  </si>
  <si>
    <t>Szkoła Podstawowa nr 3</t>
  </si>
  <si>
    <t>Szkoła Podstawowa Nr 4</t>
  </si>
  <si>
    <t>Szkoła Podstawowa Nr 6</t>
  </si>
  <si>
    <t>Szkoła Podstawowa Nr 7</t>
  </si>
  <si>
    <t>Szkoła Podstawowa Nr 10</t>
  </si>
  <si>
    <t>Szkoła Podstawowa Nr 13</t>
  </si>
  <si>
    <t>Szkoła Podstawowa Nr 14</t>
  </si>
  <si>
    <t>Szkoła Podstawowa Nr 15</t>
  </si>
  <si>
    <t>Szkoła Podstawowa Nr 20</t>
  </si>
  <si>
    <t>Szkoła Podstawowa Nr 21</t>
  </si>
  <si>
    <t>Szkoła Podstawowa Nr 23</t>
  </si>
  <si>
    <t>Szkoła Podstawowa Nr 24</t>
  </si>
  <si>
    <t>Szkoła Podstawowa Nr 25</t>
  </si>
  <si>
    <t>Szkoła Podstawowa Nr 27</t>
  </si>
  <si>
    <t>Szkoła Podstawowa Nr 30</t>
  </si>
  <si>
    <t>Szkoła Podstawowa Nr 31</t>
  </si>
  <si>
    <t>Szkoła Podstawowa Nr 34</t>
  </si>
  <si>
    <t>Szkoła Podstawowa Nr 38</t>
  </si>
  <si>
    <t>Szkoła Podstawowa Nr 39</t>
  </si>
  <si>
    <t>Szkoła Podstawowa Nr 42</t>
  </si>
  <si>
    <t>Szkoła Podstawowa Nr 43</t>
  </si>
  <si>
    <t>Szkoła Podstawowa Nr 46</t>
  </si>
  <si>
    <t>Szkoła Podstawowa Nr 47</t>
  </si>
  <si>
    <t>Szkoła Podstawowa Nr 48</t>
  </si>
  <si>
    <t>Szkoła Podstawowa Nr 50</t>
  </si>
  <si>
    <t>Szkoła Podstawowa Nr 52</t>
  </si>
  <si>
    <t>Gimnazjum Nr 1</t>
  </si>
  <si>
    <t>Gimnazjum Nr 3</t>
  </si>
  <si>
    <t>Gimnazjum Nr 7</t>
  </si>
  <si>
    <t>Gimnazjum Nr 9</t>
  </si>
  <si>
    <t>Gimnazjum Nr 10</t>
  </si>
  <si>
    <t>Gimnazjum Nr 12</t>
  </si>
  <si>
    <t>Gimnazjum Nr 14</t>
  </si>
  <si>
    <t>Gimnazjum Nr 15</t>
  </si>
  <si>
    <t>Gimnazjum Nr 17</t>
  </si>
  <si>
    <t>IV Liceum Ogólnokształcące</t>
  </si>
  <si>
    <t>V Liceum Ogólnokształcące</t>
  </si>
  <si>
    <t>VIII Liceum Ogólnokształcące</t>
  </si>
  <si>
    <t>Państwowe Szkoły Budownictwa</t>
  </si>
  <si>
    <t>Zespół Szkół Budowlanych</t>
  </si>
  <si>
    <t>Zespół Szkół Włokienniczych</t>
  </si>
  <si>
    <t>Zespół Szkół Przem. Spożyw.</t>
  </si>
  <si>
    <t>Zespół Szkół Energetycznych</t>
  </si>
  <si>
    <t>Zespół Szkół Elektronicznych</t>
  </si>
  <si>
    <t>Zespół Szkół Samochodowych</t>
  </si>
  <si>
    <t>Zespół Szkół Nr 1</t>
  </si>
  <si>
    <t>Zespół Szkół Nr 3</t>
  </si>
  <si>
    <t>Zespół Szkół Nr 5</t>
  </si>
  <si>
    <t>dotacja celowa z budżetu państwa na pomoc materialną dla młodzieży wiejskiej</t>
  </si>
  <si>
    <t>dotacja celowa z budżetu państwa na pomoc repatriantom</t>
  </si>
  <si>
    <t>Zakłady gospodarki mieszkaniowej</t>
  </si>
  <si>
    <t xml:space="preserve">dotacja dla Zarządu Nieruchomości Komunalnych, z tego: </t>
  </si>
  <si>
    <t>Remonty budynków komunalnych</t>
  </si>
  <si>
    <t>Remonty ogólnobudowlane</t>
  </si>
  <si>
    <t>remonty bieżące, główne</t>
  </si>
  <si>
    <t>remonty pustostanów, dachów, kominów, kanałów, stolarki</t>
  </si>
  <si>
    <t>z kredytów, pożyczek                                     i innych środków</t>
  </si>
  <si>
    <t>budowa punktów świetlnych</t>
  </si>
  <si>
    <t>remonty pomieszczeń</t>
  </si>
  <si>
    <t>z dnia 31 marca 2003 r.</t>
  </si>
  <si>
    <t xml:space="preserve">Dotacje celowe z budżetu państwa na finansowanie zadań 
z zakresu administracji rządowej wykonywanych przez powiat </t>
  </si>
  <si>
    <t>Dotacje celowe otrzymane z budżetu państwa na zadania bieżące 
z zakresu administracji rządowej oraz inne zadania zlecone ustawami realizowane przez powiat</t>
  </si>
  <si>
    <t xml:space="preserve">dotacja dla Zarządu Nieruchomości Komunalnych, w tym: </t>
  </si>
  <si>
    <t>programy</t>
  </si>
  <si>
    <t>remonty kanalizacji deszczowej</t>
  </si>
  <si>
    <t>udzielanie rodzinom, w których występują problemy alkoholowe pomocy psychospołecznej i prawnej, a w szczególności ochrony przed przemocą 
w rodzinie</t>
  </si>
  <si>
    <t>Załącznik Nr 7</t>
  </si>
  <si>
    <t>do Zarządzenia Nr 161/2003</t>
  </si>
  <si>
    <t>Przedszkola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</si>
</sst>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\ &quot;zł&quot;"/>
    <numFmt numFmtId="167" formatCode="#,##0.0"/>
  </numFmts>
  <fonts count="2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i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sz val="11"/>
      <color indexed="8"/>
      <name val="Arial CE"/>
      <family val="2"/>
    </font>
    <font>
      <b/>
      <u val="single"/>
      <sz val="11"/>
      <color indexed="8"/>
      <name val="Arial CE"/>
      <family val="2"/>
    </font>
    <font>
      <i/>
      <sz val="10"/>
      <name val="Arial"/>
      <family val="2"/>
    </font>
    <font>
      <sz val="12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</fills>
  <borders count="1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thin"/>
      <bottom style="hair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tted"/>
      <bottom style="hair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dashDotDot"/>
    </border>
    <border>
      <left style="thin"/>
      <right style="thin"/>
      <top style="dashDotDot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hair"/>
      <bottom style="dotted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tted"/>
      <bottom style="dotted"/>
    </border>
    <border>
      <left style="double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dashed"/>
    </border>
    <border>
      <left style="thin"/>
      <right style="thin"/>
      <top style="dashDotDot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tted"/>
      <bottom style="hair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hair"/>
      <bottom style="dotted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2" borderId="1">
      <alignment horizontal="righ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6">
    <xf numFmtId="0" fontId="0" fillId="0" borderId="0" xfId="0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0" fillId="3" borderId="3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3" fontId="3" fillId="3" borderId="5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3" fontId="2" fillId="3" borderId="6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8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right" wrapText="1"/>
    </xf>
    <xf numFmtId="0" fontId="0" fillId="3" borderId="9" xfId="0" applyFont="1" applyFill="1" applyBorder="1" applyAlignment="1">
      <alignment wrapText="1"/>
    </xf>
    <xf numFmtId="3" fontId="0" fillId="3" borderId="9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/>
    </xf>
    <xf numFmtId="3" fontId="0" fillId="3" borderId="9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3" fontId="2" fillId="3" borderId="8" xfId="0" applyNumberFormat="1" applyFont="1" applyFill="1" applyBorder="1" applyAlignment="1">
      <alignment horizontal="right"/>
    </xf>
    <xf numFmtId="3" fontId="2" fillId="3" borderId="8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0" fontId="0" fillId="3" borderId="7" xfId="0" applyFont="1" applyFill="1" applyBorder="1" applyAlignment="1">
      <alignment/>
    </xf>
    <xf numFmtId="0" fontId="2" fillId="3" borderId="6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3" fontId="2" fillId="3" borderId="5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3" borderId="6" xfId="0" applyNumberFormat="1" applyFont="1" applyFill="1" applyBorder="1" applyAlignment="1">
      <alignment wrapText="1"/>
    </xf>
    <xf numFmtId="3" fontId="2" fillId="3" borderId="6" xfId="0" applyNumberFormat="1" applyFont="1" applyFill="1" applyBorder="1" applyAlignment="1">
      <alignment/>
    </xf>
    <xf numFmtId="0" fontId="4" fillId="3" borderId="10" xfId="0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3" fontId="5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/>
    </xf>
    <xf numFmtId="0" fontId="5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2" fillId="0" borderId="6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3" fontId="2" fillId="3" borderId="9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3" fontId="5" fillId="0" borderId="12" xfId="0" applyNumberFormat="1" applyFont="1" applyBorder="1" applyAlignment="1">
      <alignment/>
    </xf>
    <xf numFmtId="0" fontId="5" fillId="3" borderId="7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3" fontId="1" fillId="0" borderId="17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3" fontId="6" fillId="0" borderId="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/>
    </xf>
    <xf numFmtId="0" fontId="0" fillId="0" borderId="9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9" fillId="0" borderId="0" xfId="0" applyFont="1" applyAlignment="1">
      <alignment/>
    </xf>
    <xf numFmtId="0" fontId="6" fillId="0" borderId="4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22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23" xfId="0" applyFont="1" applyBorder="1" applyAlignment="1">
      <alignment wrapText="1"/>
    </xf>
    <xf numFmtId="0" fontId="0" fillId="0" borderId="7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2" fillId="0" borderId="8" xfId="0" applyFont="1" applyBorder="1" applyAlignment="1">
      <alignment wrapText="1"/>
    </xf>
    <xf numFmtId="3" fontId="9" fillId="0" borderId="0" xfId="0" applyNumberFormat="1" applyFont="1" applyAlignment="1">
      <alignment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3" borderId="26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right" vertical="center"/>
    </xf>
    <xf numFmtId="0" fontId="0" fillId="0" borderId="7" xfId="0" applyBorder="1" applyAlignment="1">
      <alignment/>
    </xf>
    <xf numFmtId="0" fontId="10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0" fillId="0" borderId="4" xfId="0" applyBorder="1" applyAlignment="1">
      <alignment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3" fontId="10" fillId="0" borderId="4" xfId="0" applyNumberFormat="1" applyFont="1" applyBorder="1" applyAlignment="1">
      <alignment horizontal="center"/>
    </xf>
    <xf numFmtId="0" fontId="8" fillId="0" borderId="6" xfId="0" applyFont="1" applyBorder="1" applyAlignment="1">
      <alignment wrapText="1"/>
    </xf>
    <xf numFmtId="3" fontId="2" fillId="3" borderId="27" xfId="0" applyNumberFormat="1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4" borderId="3" xfId="0" applyFont="1" applyFill="1" applyBorder="1" applyAlignment="1">
      <alignment/>
    </xf>
    <xf numFmtId="0" fontId="0" fillId="4" borderId="3" xfId="0" applyFont="1" applyFill="1" applyBorder="1" applyAlignment="1">
      <alignment wrapText="1"/>
    </xf>
    <xf numFmtId="0" fontId="2" fillId="4" borderId="28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wrapText="1"/>
    </xf>
    <xf numFmtId="0" fontId="2" fillId="4" borderId="3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center"/>
    </xf>
    <xf numFmtId="0" fontId="0" fillId="4" borderId="28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2" fillId="4" borderId="14" xfId="0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/>
    </xf>
    <xf numFmtId="0" fontId="0" fillId="4" borderId="4" xfId="0" applyFont="1" applyFill="1" applyBorder="1" applyAlignment="1">
      <alignment/>
    </xf>
    <xf numFmtId="0" fontId="6" fillId="4" borderId="5" xfId="0" applyFont="1" applyFill="1" applyBorder="1" applyAlignment="1">
      <alignment wrapText="1"/>
    </xf>
    <xf numFmtId="3" fontId="6" fillId="4" borderId="5" xfId="0" applyNumberFormat="1" applyFont="1" applyFill="1" applyBorder="1" applyAlignment="1">
      <alignment horizontal="right"/>
    </xf>
    <xf numFmtId="3" fontId="6" fillId="4" borderId="30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4" borderId="4" xfId="0" applyFont="1" applyFill="1" applyBorder="1" applyAlignment="1">
      <alignment/>
    </xf>
    <xf numFmtId="0" fontId="0" fillId="4" borderId="7" xfId="0" applyFont="1" applyFill="1" applyBorder="1" applyAlignment="1">
      <alignment wrapText="1"/>
    </xf>
    <xf numFmtId="3" fontId="0" fillId="4" borderId="7" xfId="0" applyNumberFormat="1" applyFont="1" applyFill="1" applyBorder="1" applyAlignment="1">
      <alignment/>
    </xf>
    <xf numFmtId="3" fontId="0" fillId="4" borderId="32" xfId="0" applyNumberFormat="1" applyFont="1" applyFill="1" applyBorder="1" applyAlignment="1">
      <alignment/>
    </xf>
    <xf numFmtId="3" fontId="0" fillId="4" borderId="33" xfId="0" applyNumberFormat="1" applyFont="1" applyFill="1" applyBorder="1" applyAlignment="1">
      <alignment/>
    </xf>
    <xf numFmtId="3" fontId="0" fillId="4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1" fontId="2" fillId="2" borderId="8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3" fontId="2" fillId="2" borderId="37" xfId="0" applyNumberFormat="1" applyFont="1" applyFill="1" applyBorder="1" applyAlignment="1">
      <alignment/>
    </xf>
    <xf numFmtId="3" fontId="2" fillId="2" borderId="38" xfId="0" applyNumberFormat="1" applyFont="1" applyFill="1" applyBorder="1" applyAlignment="1">
      <alignment/>
    </xf>
    <xf numFmtId="3" fontId="2" fillId="2" borderId="39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2" fillId="2" borderId="40" xfId="0" applyNumberFormat="1" applyFont="1" applyFill="1" applyBorder="1" applyAlignment="1">
      <alignment/>
    </xf>
    <xf numFmtId="3" fontId="2" fillId="2" borderId="41" xfId="0" applyNumberFormat="1" applyFont="1" applyFill="1" applyBorder="1" applyAlignment="1">
      <alignment/>
    </xf>
    <xf numFmtId="3" fontId="2" fillId="2" borderId="42" xfId="0" applyNumberFormat="1" applyFont="1" applyFill="1" applyBorder="1" applyAlignment="1">
      <alignment/>
    </xf>
    <xf numFmtId="3" fontId="2" fillId="2" borderId="4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8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2" borderId="8" xfId="0" applyNumberFormat="1" applyFont="1" applyFill="1" applyBorder="1" applyAlignment="1">
      <alignment wrapText="1"/>
    </xf>
    <xf numFmtId="1" fontId="2" fillId="3" borderId="7" xfId="0" applyNumberFormat="1" applyFont="1" applyFill="1" applyBorder="1" applyAlignment="1">
      <alignment/>
    </xf>
    <xf numFmtId="1" fontId="2" fillId="3" borderId="8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3" borderId="36" xfId="0" applyNumberFormat="1" applyFont="1" applyFill="1" applyBorder="1" applyAlignment="1">
      <alignment/>
    </xf>
    <xf numFmtId="3" fontId="2" fillId="3" borderId="37" xfId="0" applyNumberFormat="1" applyFont="1" applyFill="1" applyBorder="1" applyAlignment="1">
      <alignment/>
    </xf>
    <xf numFmtId="3" fontId="2" fillId="3" borderId="38" xfId="0" applyNumberFormat="1" applyFont="1" applyFill="1" applyBorder="1" applyAlignment="1">
      <alignment/>
    </xf>
    <xf numFmtId="3" fontId="2" fillId="3" borderId="39" xfId="0" applyNumberFormat="1" applyFont="1" applyFill="1" applyBorder="1" applyAlignment="1">
      <alignment/>
    </xf>
    <xf numFmtId="1" fontId="0" fillId="3" borderId="4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46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3" borderId="47" xfId="0" applyFont="1" applyFill="1" applyBorder="1" applyAlignment="1">
      <alignment horizontal="center"/>
    </xf>
    <xf numFmtId="3" fontId="2" fillId="3" borderId="47" xfId="0" applyNumberFormat="1" applyFont="1" applyFill="1" applyBorder="1" applyAlignment="1">
      <alignment/>
    </xf>
    <xf numFmtId="0" fontId="0" fillId="3" borderId="16" xfId="0" applyFont="1" applyFill="1" applyBorder="1" applyAlignment="1">
      <alignment horizontal="left"/>
    </xf>
    <xf numFmtId="3" fontId="2" fillId="3" borderId="16" xfId="0" applyNumberFormat="1" applyFont="1" applyFill="1" applyBorder="1" applyAlignment="1">
      <alignment/>
    </xf>
    <xf numFmtId="0" fontId="3" fillId="3" borderId="6" xfId="0" applyFont="1" applyFill="1" applyBorder="1" applyAlignment="1">
      <alignment horizontal="left"/>
    </xf>
    <xf numFmtId="3" fontId="3" fillId="3" borderId="6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wrapText="1"/>
    </xf>
    <xf numFmtId="0" fontId="2" fillId="0" borderId="4" xfId="0" applyFont="1" applyBorder="1" applyAlignment="1">
      <alignment vertical="top"/>
    </xf>
    <xf numFmtId="0" fontId="2" fillId="0" borderId="1" xfId="0" applyFont="1" applyBorder="1" applyAlignment="1">
      <alignment horizontal="left"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 wrapText="1"/>
    </xf>
    <xf numFmtId="0" fontId="2" fillId="0" borderId="1" xfId="0" applyFont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3" borderId="48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0" borderId="4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2" fillId="0" borderId="52" xfId="0" applyNumberFormat="1" applyFont="1" applyBorder="1" applyAlignment="1">
      <alignment horizontal="right"/>
    </xf>
    <xf numFmtId="3" fontId="0" fillId="3" borderId="9" xfId="0" applyNumberFormat="1" applyFont="1" applyFill="1" applyBorder="1" applyAlignment="1">
      <alignment wrapText="1"/>
    </xf>
    <xf numFmtId="3" fontId="2" fillId="3" borderId="8" xfId="0" applyNumberFormat="1" applyFont="1" applyFill="1" applyBorder="1" applyAlignment="1">
      <alignment wrapText="1"/>
    </xf>
    <xf numFmtId="3" fontId="2" fillId="3" borderId="13" xfId="0" applyNumberFormat="1" applyFont="1" applyFill="1" applyBorder="1" applyAlignment="1">
      <alignment wrapText="1"/>
    </xf>
    <xf numFmtId="3" fontId="0" fillId="0" borderId="9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Border="1" applyAlignment="1">
      <alignment wrapText="1"/>
    </xf>
    <xf numFmtId="0" fontId="0" fillId="0" borderId="4" xfId="0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48" xfId="0" applyNumberFormat="1" applyBorder="1" applyAlignment="1">
      <alignment wrapText="1"/>
    </xf>
    <xf numFmtId="3" fontId="0" fillId="0" borderId="7" xfId="0" applyNumberForma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0" fontId="12" fillId="0" borderId="0" xfId="0" applyAlignment="1">
      <alignment/>
    </xf>
    <xf numFmtId="3" fontId="12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Alignment="1">
      <alignment/>
    </xf>
    <xf numFmtId="0" fontId="14" fillId="0" borderId="0" xfId="0" applyFont="1" applyAlignment="1">
      <alignment horizontal="left"/>
    </xf>
    <xf numFmtId="3" fontId="12" fillId="0" borderId="0" xfId="0" applyAlignment="1">
      <alignment horizontal="right"/>
    </xf>
    <xf numFmtId="0" fontId="12" fillId="0" borderId="0" xfId="0" applyAlignment="1">
      <alignment horizontal="right"/>
    </xf>
    <xf numFmtId="0" fontId="13" fillId="0" borderId="53" xfId="0" applyAlignment="1">
      <alignment horizontal="center" vertical="center"/>
    </xf>
    <xf numFmtId="0" fontId="13" fillId="0" borderId="53" xfId="0" applyAlignment="1">
      <alignment horizontal="center" vertical="center" wrapText="1"/>
    </xf>
    <xf numFmtId="3" fontId="13" fillId="0" borderId="53" xfId="0" applyAlignment="1">
      <alignment horizontal="center" vertical="center" wrapText="1"/>
    </xf>
    <xf numFmtId="0" fontId="12" fillId="0" borderId="53" xfId="0" applyAlignment="1">
      <alignment horizontal="center"/>
    </xf>
    <xf numFmtId="0" fontId="12" fillId="0" borderId="53" xfId="0" applyAlignment="1">
      <alignment horizontal="center" vertical="center"/>
    </xf>
    <xf numFmtId="3" fontId="12" fillId="0" borderId="53" xfId="0" applyAlignment="1">
      <alignment horizontal="center" vertical="center"/>
    </xf>
    <xf numFmtId="0" fontId="15" fillId="0" borderId="54" xfId="0" applyAlignment="1">
      <alignment horizontal="left"/>
    </xf>
    <xf numFmtId="0" fontId="15" fillId="0" borderId="54" xfId="0" applyAlignment="1">
      <alignment/>
    </xf>
    <xf numFmtId="0" fontId="15" fillId="0" borderId="55" xfId="0" applyAlignment="1">
      <alignment horizontal="left"/>
    </xf>
    <xf numFmtId="3" fontId="15" fillId="0" borderId="55" xfId="0" applyAlignment="1">
      <alignment horizontal="right"/>
    </xf>
    <xf numFmtId="0" fontId="12" fillId="0" borderId="56" xfId="0" applyAlignment="1">
      <alignment horizontal="center"/>
    </xf>
    <xf numFmtId="3" fontId="13" fillId="5" borderId="57" xfId="0" applyAlignment="1">
      <alignment horizontal="right"/>
    </xf>
    <xf numFmtId="0" fontId="12" fillId="0" borderId="56" xfId="0" applyAlignment="1">
      <alignment/>
    </xf>
    <xf numFmtId="0" fontId="16" fillId="5" borderId="56" xfId="0" applyAlignment="1">
      <alignment horizontal="center"/>
    </xf>
    <xf numFmtId="3" fontId="16" fillId="5" borderId="56" xfId="0" applyAlignment="1">
      <alignment horizontal="right"/>
    </xf>
    <xf numFmtId="0" fontId="12" fillId="0" borderId="56" xfId="0" applyFill="1" applyBorder="1" applyAlignment="1">
      <alignment/>
    </xf>
    <xf numFmtId="0" fontId="17" fillId="0" borderId="56" xfId="0" applyFont="1" applyFill="1" applyBorder="1" applyAlignment="1">
      <alignment/>
    </xf>
    <xf numFmtId="3" fontId="18" fillId="0" borderId="56" xfId="0" applyFill="1" applyBorder="1" applyAlignment="1">
      <alignment horizontal="right"/>
    </xf>
    <xf numFmtId="3" fontId="18" fillId="0" borderId="56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9" fillId="5" borderId="56" xfId="0" applyBorder="1" applyAlignment="1">
      <alignment/>
    </xf>
    <xf numFmtId="0" fontId="19" fillId="5" borderId="58" xfId="0" applyBorder="1" applyAlignment="1">
      <alignment/>
    </xf>
    <xf numFmtId="0" fontId="3" fillId="3" borderId="6" xfId="0" applyFont="1" applyFill="1" applyBorder="1" applyAlignment="1">
      <alignment horizontal="left" wrapText="1"/>
    </xf>
    <xf numFmtId="3" fontId="17" fillId="5" borderId="59" xfId="0" applyBorder="1" applyAlignment="1">
      <alignment horizontal="right"/>
    </xf>
    <xf numFmtId="0" fontId="13" fillId="0" borderId="60" xfId="0" applyFill="1" applyAlignment="1">
      <alignment/>
    </xf>
    <xf numFmtId="0" fontId="19" fillId="0" borderId="60" xfId="0" applyFill="1" applyAlignment="1">
      <alignment/>
    </xf>
    <xf numFmtId="0" fontId="13" fillId="0" borderId="55" xfId="0" applyFont="1" applyFill="1" applyAlignment="1">
      <alignment wrapText="1"/>
    </xf>
    <xf numFmtId="3" fontId="13" fillId="0" borderId="55" xfId="0" applyFill="1" applyBorder="1" applyAlignment="1">
      <alignment horizontal="right"/>
    </xf>
    <xf numFmtId="49" fontId="12" fillId="0" borderId="56" xfId="0" applyNumberFormat="1" applyFont="1" applyFill="1" applyBorder="1" applyAlignment="1">
      <alignment horizontal="right"/>
    </xf>
    <xf numFmtId="49" fontId="12" fillId="0" borderId="61" xfId="0" applyNumberFormat="1" applyFont="1" applyFill="1" applyAlignment="1">
      <alignment horizontal="right"/>
    </xf>
    <xf numFmtId="0" fontId="0" fillId="0" borderId="7" xfId="0" applyFont="1" applyBorder="1" applyAlignment="1">
      <alignment wrapText="1"/>
    </xf>
    <xf numFmtId="0" fontId="12" fillId="0" borderId="56" xfId="0" applyFont="1" applyFill="1" applyAlignment="1">
      <alignment/>
    </xf>
    <xf numFmtId="0" fontId="12" fillId="0" borderId="55" xfId="0" applyFont="1" applyFill="1" applyBorder="1" applyAlignment="1">
      <alignment/>
    </xf>
    <xf numFmtId="0" fontId="12" fillId="0" borderId="55" xfId="0" applyFont="1" applyFill="1" applyBorder="1" applyAlignment="1">
      <alignment wrapText="1"/>
    </xf>
    <xf numFmtId="3" fontId="19" fillId="0" borderId="55" xfId="0" applyFont="1" applyFill="1" applyAlignment="1">
      <alignment horizontal="right"/>
    </xf>
    <xf numFmtId="3" fontId="12" fillId="0" borderId="61" xfId="0" applyFont="1" applyFill="1" applyAlignment="1">
      <alignment horizontal="right"/>
    </xf>
    <xf numFmtId="0" fontId="13" fillId="0" borderId="55" xfId="0" applyFill="1" applyBorder="1" applyAlignment="1">
      <alignment/>
    </xf>
    <xf numFmtId="0" fontId="19" fillId="0" borderId="55" xfId="0" applyFill="1" applyBorder="1" applyAlignment="1">
      <alignment/>
    </xf>
    <xf numFmtId="0" fontId="19" fillId="5" borderId="55" xfId="0" applyAlignment="1">
      <alignment/>
    </xf>
    <xf numFmtId="0" fontId="3" fillId="0" borderId="6" xfId="0" applyFont="1" applyBorder="1" applyAlignment="1">
      <alignment/>
    </xf>
    <xf numFmtId="0" fontId="0" fillId="0" borderId="5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0" fillId="0" borderId="0" xfId="0" applyAlignment="1">
      <alignment/>
    </xf>
    <xf numFmtId="3" fontId="20" fillId="0" borderId="0" xfId="0" applyAlignment="1">
      <alignment/>
    </xf>
    <xf numFmtId="3" fontId="12" fillId="0" borderId="0" xfId="0" applyFont="1" applyAlignment="1">
      <alignment/>
    </xf>
    <xf numFmtId="0" fontId="12" fillId="0" borderId="0" xfId="0" applyAlignment="1">
      <alignment/>
    </xf>
    <xf numFmtId="0" fontId="14" fillId="0" borderId="0" xfId="0" applyAlignment="1">
      <alignment/>
    </xf>
    <xf numFmtId="0" fontId="17" fillId="0" borderId="0" xfId="0" applyFont="1" applyFill="1" applyBorder="1" applyAlignment="1">
      <alignment wrapText="1"/>
    </xf>
    <xf numFmtId="0" fontId="15" fillId="0" borderId="62" xfId="0" applyAlignment="1">
      <alignment/>
    </xf>
    <xf numFmtId="0" fontId="15" fillId="0" borderId="62" xfId="0" applyAlignment="1">
      <alignment horizontal="center"/>
    </xf>
    <xf numFmtId="3" fontId="15" fillId="0" borderId="63" xfId="0" applyAlignment="1">
      <alignment horizontal="center" vertical="center"/>
    </xf>
    <xf numFmtId="3" fontId="15" fillId="0" borderId="62" xfId="0" applyAlignment="1">
      <alignment horizontal="center" vertical="center"/>
    </xf>
    <xf numFmtId="0" fontId="15" fillId="0" borderId="64" xfId="0" applyAlignment="1">
      <alignment horizontal="center" vertical="top" wrapText="1"/>
    </xf>
    <xf numFmtId="0" fontId="15" fillId="0" borderId="65" xfId="0" applyAlignment="1">
      <alignment horizontal="center" vertical="center"/>
    </xf>
    <xf numFmtId="3" fontId="15" fillId="0" borderId="66" xfId="0" applyAlignment="1">
      <alignment horizontal="center" vertical="top" wrapText="1"/>
    </xf>
    <xf numFmtId="0" fontId="21" fillId="0" borderId="53" xfId="0" applyAlignment="1">
      <alignment horizontal="center" vertical="center"/>
    </xf>
    <xf numFmtId="3" fontId="21" fillId="0" borderId="53" xfId="0" applyAlignment="1">
      <alignment horizontal="center" vertical="center"/>
    </xf>
    <xf numFmtId="0" fontId="22" fillId="0" borderId="54" xfId="0" applyFont="1" applyAlignment="1">
      <alignment horizontal="center" vertical="center"/>
    </xf>
    <xf numFmtId="0" fontId="15" fillId="0" borderId="67" xfId="0" applyFont="1" applyAlignment="1">
      <alignment horizontal="center" vertical="center"/>
    </xf>
    <xf numFmtId="3" fontId="15" fillId="0" borderId="67" xfId="0" applyFont="1" applyAlignment="1">
      <alignment horizontal="right"/>
    </xf>
    <xf numFmtId="0" fontId="22" fillId="0" borderId="0" xfId="0" applyFont="1" applyAlignment="1">
      <alignment/>
    </xf>
    <xf numFmtId="0" fontId="12" fillId="0" borderId="56" xfId="0" applyAlignment="1">
      <alignment horizontal="center" vertical="center"/>
    </xf>
    <xf numFmtId="0" fontId="12" fillId="0" borderId="56" xfId="0" applyAlignment="1">
      <alignment horizontal="left" vertical="center"/>
    </xf>
    <xf numFmtId="3" fontId="12" fillId="0" borderId="68" xfId="0" applyAlignment="1">
      <alignment horizontal="center" vertical="center"/>
    </xf>
    <xf numFmtId="3" fontId="12" fillId="0" borderId="56" xfId="0" applyAlignment="1">
      <alignment horizontal="center" vertical="center"/>
    </xf>
    <xf numFmtId="0" fontId="12" fillId="0" borderId="56" xfId="0" applyFill="1" applyAlignment="1">
      <alignment horizontal="center" vertical="center"/>
    </xf>
    <xf numFmtId="3" fontId="23" fillId="0" borderId="68" xfId="0" applyFill="1" applyAlignment="1">
      <alignment horizontal="center" vertical="center"/>
    </xf>
    <xf numFmtId="3" fontId="23" fillId="0" borderId="56" xfId="0" applyFill="1" applyAlignment="1">
      <alignment horizontal="center" vertical="center"/>
    </xf>
    <xf numFmtId="0" fontId="12" fillId="0" borderId="0" xfId="0" applyFill="1" applyAlignment="1">
      <alignment/>
    </xf>
    <xf numFmtId="0" fontId="12" fillId="0" borderId="56" xfId="0" applyFill="1" applyAlignment="1">
      <alignment/>
    </xf>
    <xf numFmtId="0" fontId="23" fillId="0" borderId="56" xfId="0" applyFont="1" applyFill="1" applyAlignment="1">
      <alignment horizontal="center"/>
    </xf>
    <xf numFmtId="3" fontId="23" fillId="0" borderId="56" xfId="0" applyFill="1" applyAlignment="1">
      <alignment/>
    </xf>
    <xf numFmtId="3" fontId="12" fillId="0" borderId="0" xfId="0" applyFill="1" applyAlignment="1">
      <alignment/>
    </xf>
    <xf numFmtId="0" fontId="12" fillId="0" borderId="55" xfId="0" applyFill="1" applyAlignment="1">
      <alignment/>
    </xf>
    <xf numFmtId="0" fontId="17" fillId="0" borderId="59" xfId="0" applyFont="1" applyFill="1" applyAlignment="1">
      <alignment wrapText="1"/>
    </xf>
    <xf numFmtId="3" fontId="17" fillId="0" borderId="59" xfId="0" applyFill="1" applyAlignment="1">
      <alignment/>
    </xf>
    <xf numFmtId="0" fontId="13" fillId="0" borderId="55" xfId="0" applyFill="1" applyAlignment="1">
      <alignment/>
    </xf>
    <xf numFmtId="0" fontId="13" fillId="0" borderId="56" xfId="0" applyFill="1" applyAlignment="1">
      <alignment/>
    </xf>
    <xf numFmtId="0" fontId="13" fillId="0" borderId="55" xfId="0" applyFont="1" applyFill="1" applyAlignment="1">
      <alignment/>
    </xf>
    <xf numFmtId="3" fontId="13" fillId="0" borderId="55" xfId="0" applyFill="1" applyAlignment="1">
      <alignment/>
    </xf>
    <xf numFmtId="3" fontId="13" fillId="0" borderId="60" xfId="0" applyFill="1" applyAlignment="1">
      <alignment/>
    </xf>
    <xf numFmtId="0" fontId="12" fillId="0" borderId="61" xfId="0" applyFill="1" applyAlignment="1">
      <alignment/>
    </xf>
    <xf numFmtId="0" fontId="12" fillId="0" borderId="69" xfId="0" applyFont="1" applyFill="1" applyAlignment="1">
      <alignment/>
    </xf>
    <xf numFmtId="3" fontId="12" fillId="0" borderId="61" xfId="0" applyFill="1" applyAlignment="1">
      <alignment/>
    </xf>
    <xf numFmtId="0" fontId="12" fillId="0" borderId="70" xfId="0" applyFill="1" applyBorder="1" applyAlignment="1">
      <alignment/>
    </xf>
    <xf numFmtId="0" fontId="19" fillId="0" borderId="71" xfId="0" applyFont="1" applyFill="1" applyAlignment="1">
      <alignment/>
    </xf>
    <xf numFmtId="3" fontId="19" fillId="0" borderId="55" xfId="0" applyFill="1" applyAlignment="1">
      <alignment/>
    </xf>
    <xf numFmtId="0" fontId="19" fillId="0" borderId="71" xfId="0" applyFill="1" applyAlignment="1">
      <alignment/>
    </xf>
    <xf numFmtId="0" fontId="12" fillId="0" borderId="61" xfId="0" applyFill="1" applyBorder="1" applyAlignment="1">
      <alignment/>
    </xf>
    <xf numFmtId="3" fontId="12" fillId="0" borderId="61" xfId="0" applyFont="1" applyFill="1" applyBorder="1" applyAlignment="1">
      <alignment/>
    </xf>
    <xf numFmtId="0" fontId="0" fillId="0" borderId="72" xfId="0" applyFill="1" applyBorder="1" applyAlignment="1">
      <alignment/>
    </xf>
    <xf numFmtId="3" fontId="19" fillId="0" borderId="70" xfId="0" applyFill="1" applyBorder="1" applyAlignment="1">
      <alignment/>
    </xf>
    <xf numFmtId="0" fontId="12" fillId="0" borderId="56" xfId="0" applyFill="1" applyBorder="1" applyAlignment="1">
      <alignment wrapText="1"/>
    </xf>
    <xf numFmtId="0" fontId="12" fillId="0" borderId="56" xfId="0" applyFill="1" applyAlignment="1">
      <alignment wrapText="1"/>
    </xf>
    <xf numFmtId="0" fontId="23" fillId="0" borderId="56" xfId="0" applyFont="1" applyFill="1" applyAlignment="1">
      <alignment horizontal="center" wrapText="1"/>
    </xf>
    <xf numFmtId="3" fontId="23" fillId="0" borderId="56" xfId="0" applyFill="1" applyAlignment="1">
      <alignment wrapText="1"/>
    </xf>
    <xf numFmtId="3" fontId="12" fillId="0" borderId="0" xfId="0" applyFill="1" applyAlignment="1">
      <alignment wrapText="1"/>
    </xf>
    <xf numFmtId="0" fontId="12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13" fillId="0" borderId="61" xfId="0" applyFill="1" applyBorder="1" applyAlignment="1">
      <alignment/>
    </xf>
    <xf numFmtId="0" fontId="12" fillId="0" borderId="69" xfId="0" applyFont="1" applyFill="1" applyBorder="1" applyAlignment="1">
      <alignment/>
    </xf>
    <xf numFmtId="3" fontId="19" fillId="0" borderId="55" xfId="0" applyFont="1" applyFill="1" applyAlignment="1">
      <alignment/>
    </xf>
    <xf numFmtId="3" fontId="5" fillId="0" borderId="73" xfId="0" applyNumberFormat="1" applyFont="1" applyBorder="1" applyAlignment="1">
      <alignment/>
    </xf>
    <xf numFmtId="0" fontId="13" fillId="0" borderId="60" xfId="0" applyFill="1" applyBorder="1" applyAlignment="1">
      <alignment/>
    </xf>
    <xf numFmtId="0" fontId="19" fillId="0" borderId="74" xfId="0" applyFill="1" applyBorder="1" applyAlignment="1">
      <alignment/>
    </xf>
    <xf numFmtId="0" fontId="12" fillId="0" borderId="68" xfId="0" applyFont="1" applyFill="1" applyBorder="1" applyAlignment="1">
      <alignment/>
    </xf>
    <xf numFmtId="3" fontId="12" fillId="0" borderId="56" xfId="0" applyFill="1" applyBorder="1" applyAlignment="1">
      <alignment/>
    </xf>
    <xf numFmtId="0" fontId="13" fillId="0" borderId="60" xfId="0" applyFont="1" applyFill="1" applyBorder="1" applyAlignment="1">
      <alignment/>
    </xf>
    <xf numFmtId="3" fontId="13" fillId="0" borderId="60" xfId="0" applyFill="1" applyBorder="1" applyAlignment="1">
      <alignment/>
    </xf>
    <xf numFmtId="0" fontId="19" fillId="0" borderId="74" xfId="0" applyFont="1" applyFill="1" applyBorder="1" applyAlignment="1">
      <alignment/>
    </xf>
    <xf numFmtId="0" fontId="12" fillId="0" borderId="55" xfId="0" applyFill="1" applyBorder="1" applyAlignment="1">
      <alignment/>
    </xf>
    <xf numFmtId="0" fontId="19" fillId="0" borderId="71" xfId="0" applyFont="1" applyFill="1" applyBorder="1" applyAlignment="1">
      <alignment/>
    </xf>
    <xf numFmtId="3" fontId="19" fillId="0" borderId="55" xfId="0" applyFill="1" applyBorder="1" applyAlignment="1">
      <alignment/>
    </xf>
    <xf numFmtId="3" fontId="12" fillId="0" borderId="61" xfId="0" applyFill="1" applyBorder="1" applyAlignment="1">
      <alignment/>
    </xf>
    <xf numFmtId="0" fontId="0" fillId="0" borderId="34" xfId="0" applyFont="1" applyBorder="1" applyAlignment="1">
      <alignment/>
    </xf>
    <xf numFmtId="0" fontId="19" fillId="0" borderId="56" xfId="0" applyFill="1" applyAlignment="1">
      <alignment horizontal="center"/>
    </xf>
    <xf numFmtId="0" fontId="19" fillId="0" borderId="55" xfId="0" applyFill="1" applyAlignment="1">
      <alignment horizontal="center"/>
    </xf>
    <xf numFmtId="3" fontId="17" fillId="0" borderId="59" xfId="0" applyFill="1" applyAlignment="1">
      <alignment horizontal="right"/>
    </xf>
    <xf numFmtId="0" fontId="0" fillId="0" borderId="75" xfId="0" applyFont="1" applyBorder="1" applyAlignment="1">
      <alignment wrapText="1"/>
    </xf>
    <xf numFmtId="0" fontId="22" fillId="0" borderId="56" xfId="0" applyFill="1" applyAlignment="1">
      <alignment horizontal="center"/>
    </xf>
    <xf numFmtId="0" fontId="22" fillId="0" borderId="56" xfId="0" applyFill="1" applyBorder="1" applyAlignment="1">
      <alignment horizontal="center"/>
    </xf>
    <xf numFmtId="0" fontId="23" fillId="0" borderId="56" xfId="0" applyFont="1" applyFill="1" applyBorder="1" applyAlignment="1">
      <alignment horizontal="center"/>
    </xf>
    <xf numFmtId="3" fontId="23" fillId="0" borderId="56" xfId="0" applyFill="1" applyBorder="1" applyAlignment="1">
      <alignment horizontal="right"/>
    </xf>
    <xf numFmtId="0" fontId="17" fillId="0" borderId="59" xfId="0" applyFill="1" applyAlignment="1">
      <alignment horizontal="left"/>
    </xf>
    <xf numFmtId="0" fontId="19" fillId="0" borderId="71" xfId="0" applyFill="1" applyBorder="1" applyAlignment="1">
      <alignment/>
    </xf>
    <xf numFmtId="0" fontId="13" fillId="0" borderId="76" xfId="0" applyFill="1" applyBorder="1" applyAlignment="1">
      <alignment/>
    </xf>
    <xf numFmtId="0" fontId="13" fillId="0" borderId="70" xfId="0" applyFill="1" applyBorder="1" applyAlignment="1">
      <alignment/>
    </xf>
    <xf numFmtId="3" fontId="13" fillId="0" borderId="70" xfId="0" applyFill="1" applyBorder="1" applyAlignment="1">
      <alignment/>
    </xf>
    <xf numFmtId="3" fontId="13" fillId="0" borderId="76" xfId="0" applyFill="1" applyBorder="1" applyAlignment="1">
      <alignment/>
    </xf>
    <xf numFmtId="3" fontId="12" fillId="0" borderId="75" xfId="0" applyFill="1" applyBorder="1" applyAlignment="1">
      <alignment/>
    </xf>
    <xf numFmtId="0" fontId="19" fillId="0" borderId="70" xfId="0" applyFill="1" applyBorder="1" applyAlignment="1">
      <alignment/>
    </xf>
    <xf numFmtId="3" fontId="13" fillId="0" borderId="55" xfId="0" applyFill="1" applyBorder="1" applyAlignment="1">
      <alignment/>
    </xf>
    <xf numFmtId="0" fontId="19" fillId="0" borderId="70" xfId="0" applyFill="1" applyBorder="1" applyAlignment="1">
      <alignment horizontal="center"/>
    </xf>
    <xf numFmtId="3" fontId="12" fillId="0" borderId="0" xfId="0" applyNumberFormat="1" applyFill="1" applyAlignment="1">
      <alignment/>
    </xf>
    <xf numFmtId="3" fontId="5" fillId="0" borderId="77" xfId="0" applyNumberFormat="1" applyFont="1" applyBorder="1" applyAlignment="1">
      <alignment wrapText="1"/>
    </xf>
    <xf numFmtId="0" fontId="0" fillId="0" borderId="78" xfId="0" applyFont="1" applyBorder="1" applyAlignment="1">
      <alignment/>
    </xf>
    <xf numFmtId="0" fontId="0" fillId="0" borderId="7" xfId="0" applyFont="1" applyBorder="1" applyAlignment="1">
      <alignment vertical="top"/>
    </xf>
    <xf numFmtId="3" fontId="5" fillId="0" borderId="70" xfId="0" applyNumberFormat="1" applyFont="1" applyBorder="1" applyAlignment="1">
      <alignment wrapText="1"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6" xfId="0" applyFont="1" applyBorder="1" applyAlignment="1">
      <alignment horizontal="left"/>
    </xf>
    <xf numFmtId="3" fontId="2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/>
    </xf>
    <xf numFmtId="0" fontId="3" fillId="0" borderId="81" xfId="0" applyFont="1" applyBorder="1" applyAlignment="1">
      <alignment wrapText="1"/>
    </xf>
    <xf numFmtId="3" fontId="2" fillId="3" borderId="12" xfId="0" applyNumberFormat="1" applyFont="1" applyFill="1" applyBorder="1" applyAlignment="1">
      <alignment wrapText="1"/>
    </xf>
    <xf numFmtId="0" fontId="5" fillId="0" borderId="82" xfId="0" applyFont="1" applyBorder="1" applyAlignment="1">
      <alignment/>
    </xf>
    <xf numFmtId="3" fontId="5" fillId="0" borderId="82" xfId="0" applyNumberFormat="1" applyFont="1" applyBorder="1" applyAlignment="1">
      <alignment/>
    </xf>
    <xf numFmtId="0" fontId="5" fillId="3" borderId="4" xfId="0" applyFont="1" applyFill="1" applyBorder="1" applyAlignment="1">
      <alignment wrapText="1"/>
    </xf>
    <xf numFmtId="0" fontId="0" fillId="0" borderId="83" xfId="0" applyFill="1" applyBorder="1" applyAlignment="1">
      <alignment/>
    </xf>
    <xf numFmtId="0" fontId="3" fillId="0" borderId="4" xfId="0" applyFont="1" applyBorder="1" applyAlignment="1">
      <alignment/>
    </xf>
    <xf numFmtId="1" fontId="0" fillId="3" borderId="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84" xfId="0" applyFont="1" applyBorder="1" applyAlignment="1">
      <alignment wrapText="1"/>
    </xf>
    <xf numFmtId="0" fontId="5" fillId="3" borderId="39" xfId="0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0" fontId="0" fillId="0" borderId="82" xfId="0" applyBorder="1" applyAlignment="1">
      <alignment/>
    </xf>
    <xf numFmtId="3" fontId="0" fillId="0" borderId="82" xfId="0" applyNumberFormat="1" applyBorder="1" applyAlignment="1">
      <alignment/>
    </xf>
    <xf numFmtId="0" fontId="0" fillId="3" borderId="9" xfId="0" applyFont="1" applyFill="1" applyBorder="1" applyAlignment="1">
      <alignment/>
    </xf>
    <xf numFmtId="0" fontId="3" fillId="3" borderId="6" xfId="0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85" xfId="0" applyNumberFormat="1" applyFont="1" applyFill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wrapText="1"/>
    </xf>
    <xf numFmtId="3" fontId="0" fillId="0" borderId="86" xfId="0" applyNumberFormat="1" applyFont="1" applyBorder="1" applyAlignment="1">
      <alignment/>
    </xf>
    <xf numFmtId="1" fontId="2" fillId="3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 horizontal="left" wrapText="1"/>
    </xf>
    <xf numFmtId="3" fontId="5" fillId="0" borderId="1" xfId="0" applyNumberFormat="1" applyFont="1" applyBorder="1" applyAlignment="1">
      <alignment horizontal="right"/>
    </xf>
    <xf numFmtId="3" fontId="0" fillId="3" borderId="87" xfId="0" applyNumberFormat="1" applyFont="1" applyFill="1" applyBorder="1" applyAlignment="1">
      <alignment/>
    </xf>
    <xf numFmtId="3" fontId="5" fillId="0" borderId="82" xfId="0" applyNumberFormat="1" applyFont="1" applyBorder="1" applyAlignment="1">
      <alignment wrapText="1"/>
    </xf>
    <xf numFmtId="3" fontId="5" fillId="0" borderId="88" xfId="0" applyNumberFormat="1" applyFont="1" applyBorder="1" applyAlignment="1">
      <alignment/>
    </xf>
    <xf numFmtId="3" fontId="5" fillId="0" borderId="88" xfId="0" applyNumberFormat="1" applyFont="1" applyBorder="1" applyAlignment="1">
      <alignment wrapText="1"/>
    </xf>
    <xf numFmtId="3" fontId="5" fillId="0" borderId="82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0" fontId="2" fillId="0" borderId="8" xfId="0" applyFont="1" applyBorder="1" applyAlignment="1" quotePrefix="1">
      <alignment horizontal="right"/>
    </xf>
    <xf numFmtId="0" fontId="13" fillId="0" borderId="89" xfId="0" applyFill="1" applyBorder="1" applyAlignment="1">
      <alignment/>
    </xf>
    <xf numFmtId="0" fontId="5" fillId="0" borderId="88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90" xfId="0" applyFont="1" applyBorder="1" applyAlignment="1">
      <alignment wrapText="1"/>
    </xf>
    <xf numFmtId="3" fontId="0" fillId="0" borderId="90" xfId="0" applyNumberFormat="1" applyFont="1" applyBorder="1" applyAlignment="1">
      <alignment/>
    </xf>
    <xf numFmtId="0" fontId="0" fillId="0" borderId="91" xfId="0" applyFont="1" applyBorder="1" applyAlignment="1">
      <alignment wrapText="1"/>
    </xf>
    <xf numFmtId="3" fontId="0" fillId="0" borderId="9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" borderId="8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3" fontId="0" fillId="0" borderId="4" xfId="0" applyNumberForma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0" fillId="0" borderId="92" xfId="0" applyNumberFormat="1" applyFon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2" fillId="3" borderId="1" xfId="0" applyNumberFormat="1" applyFont="1" applyFill="1" applyBorder="1" applyAlignment="1">
      <alignment wrapText="1"/>
    </xf>
    <xf numFmtId="2" fontId="0" fillId="0" borderId="4" xfId="0" applyNumberFormat="1" applyFont="1" applyBorder="1" applyAlignment="1">
      <alignment wrapText="1"/>
    </xf>
    <xf numFmtId="0" fontId="0" fillId="0" borderId="90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3" borderId="43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0" fontId="0" fillId="3" borderId="82" xfId="0" applyFont="1" applyFill="1" applyBorder="1" applyAlignment="1">
      <alignment/>
    </xf>
    <xf numFmtId="3" fontId="2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/>
    </xf>
    <xf numFmtId="3" fontId="0" fillId="3" borderId="82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5" fillId="0" borderId="86" xfId="0" applyNumberFormat="1" applyFont="1" applyBorder="1" applyAlignment="1">
      <alignment/>
    </xf>
    <xf numFmtId="3" fontId="19" fillId="0" borderId="70" xfId="0" applyFont="1" applyFill="1" applyBorder="1" applyAlignment="1">
      <alignment/>
    </xf>
    <xf numFmtId="0" fontId="0" fillId="0" borderId="1" xfId="0" applyFont="1" applyBorder="1" applyAlignment="1">
      <alignment horizontal="left" wrapText="1"/>
    </xf>
    <xf numFmtId="0" fontId="13" fillId="0" borderId="53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right"/>
    </xf>
    <xf numFmtId="3" fontId="2" fillId="0" borderId="47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5" fillId="0" borderId="93" xfId="0" applyFont="1" applyBorder="1" applyAlignment="1">
      <alignment/>
    </xf>
    <xf numFmtId="3" fontId="5" fillId="0" borderId="93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5" fillId="0" borderId="81" xfId="0" applyFont="1" applyBorder="1" applyAlignment="1">
      <alignment wrapText="1"/>
    </xf>
    <xf numFmtId="3" fontId="5" fillId="0" borderId="81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wrapText="1"/>
    </xf>
    <xf numFmtId="0" fontId="5" fillId="0" borderId="47" xfId="0" applyFont="1" applyBorder="1" applyAlignment="1">
      <alignment wrapText="1"/>
    </xf>
    <xf numFmtId="3" fontId="5" fillId="0" borderId="47" xfId="0" applyNumberFormat="1" applyFont="1" applyBorder="1" applyAlignment="1">
      <alignment wrapText="1"/>
    </xf>
    <xf numFmtId="0" fontId="5" fillId="0" borderId="93" xfId="0" applyFont="1" applyBorder="1" applyAlignment="1">
      <alignment wrapText="1"/>
    </xf>
    <xf numFmtId="0" fontId="0" fillId="0" borderId="7" xfId="0" applyFont="1" applyBorder="1" applyAlignment="1">
      <alignment horizontal="left" wrapText="1"/>
    </xf>
    <xf numFmtId="0" fontId="2" fillId="2" borderId="1" xfId="0" applyFont="1" applyFill="1" applyBorder="1" applyAlignment="1" quotePrefix="1">
      <alignment horizontal="right"/>
    </xf>
    <xf numFmtId="0" fontId="2" fillId="0" borderId="6" xfId="0" applyFont="1" applyBorder="1" applyAlignment="1">
      <alignment horizontal="left" wrapText="1"/>
    </xf>
    <xf numFmtId="0" fontId="0" fillId="0" borderId="86" xfId="0" applyFon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5" fillId="3" borderId="12" xfId="0" applyFont="1" applyFill="1" applyBorder="1" applyAlignment="1">
      <alignment/>
    </xf>
    <xf numFmtId="3" fontId="0" fillId="0" borderId="94" xfId="0" applyNumberFormat="1" applyFont="1" applyBorder="1" applyAlignment="1">
      <alignment/>
    </xf>
    <xf numFmtId="3" fontId="0" fillId="0" borderId="86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0" fillId="0" borderId="86" xfId="0" applyBorder="1" applyAlignment="1">
      <alignment/>
    </xf>
    <xf numFmtId="3" fontId="0" fillId="0" borderId="86" xfId="0" applyNumberFormat="1" applyBorder="1" applyAlignment="1">
      <alignment/>
    </xf>
    <xf numFmtId="0" fontId="5" fillId="3" borderId="20" xfId="0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4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3" fontId="3" fillId="0" borderId="8" xfId="0" applyNumberFormat="1" applyFont="1" applyBorder="1" applyAlignment="1">
      <alignment/>
    </xf>
    <xf numFmtId="3" fontId="8" fillId="0" borderId="95" xfId="0" applyNumberFormat="1" applyFont="1" applyBorder="1" applyAlignment="1">
      <alignment/>
    </xf>
    <xf numFmtId="3" fontId="0" fillId="3" borderId="8" xfId="0" applyNumberFormat="1" applyFont="1" applyFill="1" applyBorder="1" applyAlignment="1">
      <alignment/>
    </xf>
    <xf numFmtId="3" fontId="0" fillId="3" borderId="40" xfId="0" applyNumberFormat="1" applyFont="1" applyFill="1" applyBorder="1" applyAlignment="1">
      <alignment/>
    </xf>
    <xf numFmtId="3" fontId="0" fillId="3" borderId="41" xfId="0" applyNumberFormat="1" applyFont="1" applyFill="1" applyBorder="1" applyAlignment="1">
      <alignment/>
    </xf>
    <xf numFmtId="3" fontId="0" fillId="3" borderId="43" xfId="0" applyNumberFormat="1" applyFont="1" applyFill="1" applyBorder="1" applyAlignment="1">
      <alignment/>
    </xf>
    <xf numFmtId="3" fontId="5" fillId="0" borderId="81" xfId="0" applyNumberFormat="1" applyFont="1" applyBorder="1" applyAlignment="1">
      <alignment wrapText="1"/>
    </xf>
    <xf numFmtId="49" fontId="12" fillId="0" borderId="60" xfId="0" applyNumberFormat="1" applyFont="1" applyFill="1" applyBorder="1" applyAlignment="1">
      <alignment horizontal="right"/>
    </xf>
    <xf numFmtId="3" fontId="12" fillId="0" borderId="60" xfId="0" applyFont="1" applyFill="1" applyBorder="1" applyAlignment="1">
      <alignment horizontal="right"/>
    </xf>
    <xf numFmtId="49" fontId="19" fillId="0" borderId="60" xfId="0" applyNumberFormat="1" applyFont="1" applyFill="1" applyBorder="1" applyAlignment="1">
      <alignment horizontal="right"/>
    </xf>
    <xf numFmtId="0" fontId="5" fillId="0" borderId="60" xfId="0" applyFont="1" applyBorder="1" applyAlignment="1">
      <alignment wrapText="1"/>
    </xf>
    <xf numFmtId="3" fontId="19" fillId="0" borderId="60" xfId="0" applyFont="1" applyFill="1" applyBorder="1" applyAlignment="1">
      <alignment horizontal="right"/>
    </xf>
    <xf numFmtId="3" fontId="5" fillId="0" borderId="88" xfId="0" applyNumberFormat="1" applyFont="1" applyBorder="1" applyAlignment="1">
      <alignment/>
    </xf>
    <xf numFmtId="3" fontId="0" fillId="0" borderId="2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wrapText="1"/>
    </xf>
    <xf numFmtId="0" fontId="5" fillId="0" borderId="86" xfId="0" applyFont="1" applyBorder="1" applyAlignment="1">
      <alignment wrapText="1"/>
    </xf>
    <xf numFmtId="3" fontId="5" fillId="0" borderId="86" xfId="0" applyNumberFormat="1" applyFont="1" applyBorder="1" applyAlignment="1">
      <alignment wrapText="1"/>
    </xf>
    <xf numFmtId="3" fontId="5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 wrapText="1"/>
    </xf>
    <xf numFmtId="0" fontId="5" fillId="0" borderId="7" xfId="0" applyFont="1" applyBorder="1" applyAlignment="1">
      <alignment wrapText="1"/>
    </xf>
    <xf numFmtId="3" fontId="5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5" fillId="0" borderId="4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3" fontId="5" fillId="0" borderId="20" xfId="0" applyNumberFormat="1" applyFont="1" applyBorder="1" applyAlignment="1">
      <alignment/>
    </xf>
    <xf numFmtId="0" fontId="5" fillId="0" borderId="19" xfId="0" applyFont="1" applyBorder="1" applyAlignment="1">
      <alignment horizontal="left" wrapText="1"/>
    </xf>
    <xf numFmtId="0" fontId="5" fillId="0" borderId="96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24" fillId="0" borderId="96" xfId="0" applyFont="1" applyBorder="1" applyAlignment="1">
      <alignment wrapText="1"/>
    </xf>
    <xf numFmtId="0" fontId="0" fillId="3" borderId="0" xfId="0" applyFont="1" applyFill="1" applyBorder="1" applyAlignment="1">
      <alignment/>
    </xf>
    <xf numFmtId="0" fontId="0" fillId="3" borderId="97" xfId="0" applyFont="1" applyFill="1" applyBorder="1" applyAlignment="1">
      <alignment/>
    </xf>
    <xf numFmtId="0" fontId="5" fillId="0" borderId="86" xfId="0" applyFont="1" applyBorder="1" applyAlignment="1">
      <alignment/>
    </xf>
    <xf numFmtId="0" fontId="5" fillId="0" borderId="8" xfId="0" applyFont="1" applyBorder="1" applyAlignment="1">
      <alignment/>
    </xf>
    <xf numFmtId="0" fontId="13" fillId="5" borderId="57" xfId="0" applyFont="1" applyAlignment="1">
      <alignment horizontal="center"/>
    </xf>
    <xf numFmtId="0" fontId="23" fillId="0" borderId="56" xfId="0" applyFont="1" applyFill="1" applyAlignment="1">
      <alignment horizontal="center" vertical="center"/>
    </xf>
    <xf numFmtId="3" fontId="5" fillId="0" borderId="19" xfId="0" applyNumberFormat="1" applyFont="1" applyBorder="1" applyAlignment="1">
      <alignment wrapText="1"/>
    </xf>
    <xf numFmtId="3" fontId="5" fillId="0" borderId="20" xfId="0" applyNumberFormat="1" applyFont="1" applyBorder="1" applyAlignment="1">
      <alignment wrapText="1"/>
    </xf>
    <xf numFmtId="1" fontId="0" fillId="0" borderId="4" xfId="0" applyNumberFormat="1" applyFont="1" applyBorder="1" applyAlignment="1">
      <alignment/>
    </xf>
    <xf numFmtId="3" fontId="0" fillId="0" borderId="98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9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00" xfId="0" applyNumberFormat="1" applyFont="1" applyBorder="1" applyAlignment="1">
      <alignment/>
    </xf>
    <xf numFmtId="3" fontId="0" fillId="0" borderId="101" xfId="0" applyNumberFormat="1" applyFont="1" applyBorder="1" applyAlignment="1">
      <alignment/>
    </xf>
    <xf numFmtId="3" fontId="0" fillId="0" borderId="102" xfId="0" applyNumberFormat="1" applyFont="1" applyBorder="1" applyAlignment="1">
      <alignment/>
    </xf>
    <xf numFmtId="3" fontId="0" fillId="0" borderId="103" xfId="0" applyNumberFormat="1" applyFont="1" applyBorder="1" applyAlignment="1">
      <alignment/>
    </xf>
    <xf numFmtId="3" fontId="0" fillId="0" borderId="12" xfId="0" applyNumberFormat="1" applyFont="1" applyBorder="1" applyAlignment="1">
      <alignment wrapText="1"/>
    </xf>
    <xf numFmtId="3" fontId="0" fillId="3" borderId="104" xfId="0" applyNumberFormat="1" applyFont="1" applyFill="1" applyBorder="1" applyAlignment="1">
      <alignment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 horizontal="right"/>
    </xf>
    <xf numFmtId="0" fontId="5" fillId="0" borderId="88" xfId="0" applyFont="1" applyBorder="1" applyAlignment="1">
      <alignment horizontal="left"/>
    </xf>
    <xf numFmtId="3" fontId="5" fillId="0" borderId="8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15" fillId="0" borderId="56" xfId="0" applyFont="1" applyFill="1" applyAlignment="1">
      <alignment/>
    </xf>
    <xf numFmtId="3" fontId="15" fillId="0" borderId="105" xfId="0" applyFont="1" applyFill="1" applyBorder="1" applyAlignment="1">
      <alignment/>
    </xf>
    <xf numFmtId="3" fontId="22" fillId="0" borderId="56" xfId="0" applyFont="1" applyFill="1" applyAlignment="1">
      <alignment/>
    </xf>
    <xf numFmtId="3" fontId="22" fillId="0" borderId="61" xfId="0" applyFont="1" applyFill="1" applyBorder="1" applyAlignment="1">
      <alignment/>
    </xf>
    <xf numFmtId="0" fontId="12" fillId="0" borderId="60" xfId="0" applyFill="1" applyBorder="1" applyAlignment="1">
      <alignment/>
    </xf>
    <xf numFmtId="0" fontId="0" fillId="0" borderId="60" xfId="0" applyFont="1" applyBorder="1" applyAlignment="1">
      <alignment wrapText="1"/>
    </xf>
    <xf numFmtId="3" fontId="5" fillId="0" borderId="106" xfId="0" applyNumberFormat="1" applyFont="1" applyBorder="1" applyAlignment="1">
      <alignment/>
    </xf>
    <xf numFmtId="3" fontId="19" fillId="0" borderId="60" xfId="0" applyFont="1" applyFill="1" applyBorder="1" applyAlignment="1">
      <alignment/>
    </xf>
    <xf numFmtId="3" fontId="12" fillId="0" borderId="60" xfId="0" applyFill="1" applyBorder="1" applyAlignment="1">
      <alignment/>
    </xf>
    <xf numFmtId="0" fontId="12" fillId="0" borderId="69" xfId="0" applyFont="1" applyFill="1" applyAlignment="1">
      <alignment wrapText="1"/>
    </xf>
    <xf numFmtId="0" fontId="0" fillId="0" borderId="58" xfId="0" applyFill="1" applyBorder="1" applyAlignment="1">
      <alignment/>
    </xf>
    <xf numFmtId="0" fontId="0" fillId="0" borderId="107" xfId="0" applyFill="1" applyBorder="1" applyAlignment="1">
      <alignment/>
    </xf>
    <xf numFmtId="3" fontId="19" fillId="0" borderId="56" xfId="0" applyFont="1" applyFill="1" applyBorder="1" applyAlignment="1">
      <alignment/>
    </xf>
    <xf numFmtId="3" fontId="5" fillId="0" borderId="58" xfId="0" applyNumberFormat="1" applyFont="1" applyBorder="1" applyAlignment="1">
      <alignment/>
    </xf>
    <xf numFmtId="3" fontId="19" fillId="0" borderId="55" xfId="0" applyFont="1" applyFill="1" applyBorder="1" applyAlignment="1">
      <alignment/>
    </xf>
    <xf numFmtId="0" fontId="12" fillId="0" borderId="61" xfId="0" applyFill="1" applyBorder="1" applyAlignment="1">
      <alignment wrapText="1"/>
    </xf>
    <xf numFmtId="0" fontId="23" fillId="0" borderId="61" xfId="0" applyFont="1" applyFill="1" applyBorder="1" applyAlignment="1">
      <alignment horizontal="center" wrapText="1"/>
    </xf>
    <xf numFmtId="3" fontId="23" fillId="0" borderId="61" xfId="0" applyFill="1" applyBorder="1" applyAlignment="1">
      <alignment wrapText="1"/>
    </xf>
    <xf numFmtId="0" fontId="13" fillId="0" borderId="55" xfId="0" applyFont="1" applyFill="1" applyAlignment="1" quotePrefix="1">
      <alignment horizontal="right"/>
    </xf>
    <xf numFmtId="0" fontId="12" fillId="0" borderId="61" xfId="0" applyFont="1" applyFill="1" applyBorder="1" applyAlignment="1" quotePrefix="1">
      <alignment horizontal="right"/>
    </xf>
    <xf numFmtId="3" fontId="25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5" fillId="0" borderId="4" xfId="0" applyFont="1" applyBorder="1" applyAlignment="1">
      <alignment vertical="top" wrapText="1"/>
    </xf>
    <xf numFmtId="0" fontId="5" fillId="0" borderId="8" xfId="0" applyFont="1" applyBorder="1" applyAlignment="1">
      <alignment wrapText="1"/>
    </xf>
    <xf numFmtId="3" fontId="5" fillId="0" borderId="8" xfId="0" applyNumberFormat="1" applyFont="1" applyBorder="1" applyAlignment="1">
      <alignment wrapText="1"/>
    </xf>
    <xf numFmtId="0" fontId="0" fillId="3" borderId="97" xfId="0" applyFont="1" applyFill="1" applyBorder="1" applyAlignment="1">
      <alignment wrapText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8" xfId="0" applyFont="1" applyBorder="1" applyAlignment="1">
      <alignment/>
    </xf>
    <xf numFmtId="0" fontId="27" fillId="0" borderId="0" xfId="0" applyFont="1" applyAlignment="1">
      <alignment/>
    </xf>
    <xf numFmtId="0" fontId="26" fillId="0" borderId="8" xfId="0" applyFont="1" applyBorder="1" applyAlignment="1">
      <alignment horizontal="center" vertical="center"/>
    </xf>
    <xf numFmtId="3" fontId="0" fillId="0" borderId="8" xfId="0" applyNumberFormat="1" applyBorder="1" applyAlignment="1">
      <alignment/>
    </xf>
    <xf numFmtId="0" fontId="28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27" fillId="0" borderId="97" xfId="0" applyFont="1" applyBorder="1" applyAlignment="1">
      <alignment wrapText="1"/>
    </xf>
    <xf numFmtId="3" fontId="27" fillId="0" borderId="9" xfId="0" applyNumberFormat="1" applyFont="1" applyBorder="1" applyAlignment="1">
      <alignment/>
    </xf>
    <xf numFmtId="0" fontId="27" fillId="0" borderId="9" xfId="0" applyFont="1" applyBorder="1" applyAlignment="1">
      <alignment wrapText="1"/>
    </xf>
    <xf numFmtId="3" fontId="3" fillId="0" borderId="9" xfId="0" applyNumberFormat="1" applyFont="1" applyBorder="1" applyAlignment="1">
      <alignment/>
    </xf>
    <xf numFmtId="0" fontId="28" fillId="0" borderId="8" xfId="0" applyFont="1" applyBorder="1" applyAlignment="1">
      <alignment wrapText="1"/>
    </xf>
    <xf numFmtId="0" fontId="26" fillId="0" borderId="7" xfId="0" applyFont="1" applyBorder="1" applyAlignment="1">
      <alignment horizontal="center" vertical="center"/>
    </xf>
    <xf numFmtId="3" fontId="26" fillId="0" borderId="7" xfId="0" applyNumberFormat="1" applyFont="1" applyBorder="1" applyAlignment="1">
      <alignment horizontal="right"/>
    </xf>
    <xf numFmtId="0" fontId="8" fillId="0" borderId="8" xfId="0" applyFont="1" applyBorder="1" applyAlignment="1">
      <alignment wrapText="1"/>
    </xf>
    <xf numFmtId="3" fontId="8" fillId="0" borderId="8" xfId="0" applyNumberFormat="1" applyFont="1" applyBorder="1" applyAlignment="1">
      <alignment/>
    </xf>
    <xf numFmtId="0" fontId="2" fillId="0" borderId="108" xfId="0" applyFont="1" applyBorder="1" applyAlignment="1">
      <alignment wrapText="1"/>
    </xf>
    <xf numFmtId="0" fontId="12" fillId="0" borderId="109" xfId="0" applyFill="1" applyBorder="1" applyAlignment="1">
      <alignment/>
    </xf>
    <xf numFmtId="0" fontId="5" fillId="0" borderId="55" xfId="0" applyFont="1" applyBorder="1" applyAlignment="1">
      <alignment wrapText="1"/>
    </xf>
    <xf numFmtId="0" fontId="12" fillId="0" borderId="110" xfId="0" applyFill="1" applyBorder="1" applyAlignment="1">
      <alignment/>
    </xf>
    <xf numFmtId="3" fontId="19" fillId="0" borderId="110" xfId="0" applyFont="1" applyFill="1" applyBorder="1" applyAlignment="1">
      <alignment/>
    </xf>
    <xf numFmtId="0" fontId="23" fillId="0" borderId="56" xfId="0" applyFont="1" applyFill="1" applyBorder="1" applyAlignment="1">
      <alignment horizontal="center" wrapText="1"/>
    </xf>
    <xf numFmtId="0" fontId="19" fillId="0" borderId="55" xfId="0" applyFill="1" applyBorder="1" applyAlignment="1">
      <alignment horizontal="center"/>
    </xf>
    <xf numFmtId="0" fontId="3" fillId="0" borderId="77" xfId="0" applyFont="1" applyBorder="1" applyAlignment="1">
      <alignment/>
    </xf>
    <xf numFmtId="3" fontId="17" fillId="0" borderId="55" xfId="0" applyFill="1" applyBorder="1" applyAlignment="1">
      <alignment horizontal="right"/>
    </xf>
    <xf numFmtId="0" fontId="2" fillId="0" borderId="77" xfId="0" applyFont="1" applyBorder="1" applyAlignment="1">
      <alignment wrapText="1"/>
    </xf>
    <xf numFmtId="3" fontId="5" fillId="0" borderId="47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11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2" fillId="6" borderId="4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6" borderId="48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3" fontId="2" fillId="6" borderId="1" xfId="0" applyNumberFormat="1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5" fillId="0" borderId="4" xfId="0" applyFont="1" applyBorder="1" applyAlignment="1">
      <alignment vertical="top"/>
    </xf>
    <xf numFmtId="3" fontId="5" fillId="0" borderId="111" xfId="0" applyNumberFormat="1" applyFont="1" applyBorder="1" applyAlignment="1">
      <alignment/>
    </xf>
    <xf numFmtId="3" fontId="5" fillId="6" borderId="1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112" xfId="0" applyNumberFormat="1" applyFont="1" applyFill="1" applyBorder="1" applyAlignment="1">
      <alignment horizontal="right"/>
    </xf>
    <xf numFmtId="3" fontId="5" fillId="0" borderId="11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wrapText="1"/>
    </xf>
    <xf numFmtId="0" fontId="2" fillId="6" borderId="4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3" fontId="2" fillId="6" borderId="1" xfId="0" applyNumberFormat="1" applyFont="1" applyFill="1" applyBorder="1" applyAlignment="1">
      <alignment wrapText="1"/>
    </xf>
    <xf numFmtId="3" fontId="0" fillId="6" borderId="4" xfId="0" applyNumberFormat="1" applyFont="1" applyFill="1" applyBorder="1" applyAlignment="1">
      <alignment wrapText="1"/>
    </xf>
    <xf numFmtId="3" fontId="0" fillId="6" borderId="12" xfId="0" applyNumberFormat="1" applyFont="1" applyFill="1" applyBorder="1" applyAlignment="1">
      <alignment wrapText="1"/>
    </xf>
    <xf numFmtId="3" fontId="0" fillId="6" borderId="44" xfId="0" applyNumberFormat="1" applyFont="1" applyFill="1" applyBorder="1" applyAlignment="1">
      <alignment wrapText="1"/>
    </xf>
    <xf numFmtId="3" fontId="0" fillId="6" borderId="1" xfId="0" applyNumberFormat="1" applyFont="1" applyFill="1" applyBorder="1" applyAlignment="1">
      <alignment wrapText="1"/>
    </xf>
    <xf numFmtId="3" fontId="0" fillId="6" borderId="22" xfId="0" applyNumberFormat="1" applyFont="1" applyFill="1" applyBorder="1" applyAlignment="1">
      <alignment wrapText="1"/>
    </xf>
    <xf numFmtId="3" fontId="0" fillId="6" borderId="1" xfId="0" applyNumberFormat="1" applyFont="1" applyFill="1" applyBorder="1" applyAlignment="1">
      <alignment horizontal="right"/>
    </xf>
    <xf numFmtId="3" fontId="2" fillId="6" borderId="1" xfId="0" applyNumberFormat="1" applyFont="1" applyFill="1" applyBorder="1" applyAlignment="1">
      <alignment horizontal="right"/>
    </xf>
    <xf numFmtId="3" fontId="0" fillId="6" borderId="12" xfId="0" applyNumberFormat="1" applyFont="1" applyFill="1" applyBorder="1" applyAlignment="1">
      <alignment horizontal="right"/>
    </xf>
    <xf numFmtId="3" fontId="0" fillId="6" borderId="4" xfId="0" applyNumberFormat="1" applyFont="1" applyFill="1" applyBorder="1" applyAlignment="1">
      <alignment horizontal="right"/>
    </xf>
    <xf numFmtId="3" fontId="0" fillId="6" borderId="22" xfId="0" applyNumberFormat="1" applyFont="1" applyFill="1" applyBorder="1" applyAlignment="1">
      <alignment horizontal="right"/>
    </xf>
    <xf numFmtId="3" fontId="0" fillId="6" borderId="44" xfId="0" applyNumberFormat="1" applyFont="1" applyFill="1" applyBorder="1" applyAlignment="1">
      <alignment horizontal="right"/>
    </xf>
    <xf numFmtId="3" fontId="5" fillId="6" borderId="111" xfId="0" applyNumberFormat="1" applyFont="1" applyFill="1" applyBorder="1" applyAlignment="1">
      <alignment wrapText="1"/>
    </xf>
    <xf numFmtId="3" fontId="5" fillId="6" borderId="4" xfId="0" applyNumberFormat="1" applyFont="1" applyFill="1" applyBorder="1" applyAlignment="1">
      <alignment wrapText="1"/>
    </xf>
    <xf numFmtId="1" fontId="0" fillId="0" borderId="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104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104" xfId="0" applyNumberFormat="1" applyFont="1" applyBorder="1" applyAlignment="1">
      <alignment/>
    </xf>
    <xf numFmtId="3" fontId="0" fillId="0" borderId="4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3" borderId="8" xfId="0" applyNumberFormat="1" applyFont="1" applyFill="1" applyBorder="1" applyAlignment="1">
      <alignment wrapText="1"/>
    </xf>
    <xf numFmtId="0" fontId="5" fillId="0" borderId="1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113" xfId="0" applyFont="1" applyBorder="1" applyAlignment="1">
      <alignment wrapText="1"/>
    </xf>
    <xf numFmtId="3" fontId="0" fillId="0" borderId="113" xfId="0" applyNumberFormat="1" applyFont="1" applyBorder="1" applyAlignment="1">
      <alignment/>
    </xf>
    <xf numFmtId="0" fontId="5" fillId="3" borderId="82" xfId="0" applyFont="1" applyFill="1" applyBorder="1" applyAlignment="1">
      <alignment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0" fillId="3" borderId="4" xfId="0" applyFont="1" applyFill="1" applyBorder="1" applyAlignment="1">
      <alignment/>
    </xf>
    <xf numFmtId="3" fontId="15" fillId="0" borderId="55" xfId="0" applyFont="1" applyFill="1" applyBorder="1" applyAlignment="1">
      <alignment/>
    </xf>
    <xf numFmtId="0" fontId="19" fillId="0" borderId="110" xfId="0" applyFont="1" applyFill="1" applyBorder="1" applyAlignment="1">
      <alignment/>
    </xf>
    <xf numFmtId="0" fontId="5" fillId="0" borderId="110" xfId="0" applyFont="1" applyBorder="1" applyAlignment="1">
      <alignment wrapText="1"/>
    </xf>
    <xf numFmtId="2" fontId="5" fillId="0" borderId="7" xfId="0" applyNumberFormat="1" applyFont="1" applyBorder="1" applyAlignment="1">
      <alignment wrapText="1"/>
    </xf>
    <xf numFmtId="3" fontId="19" fillId="0" borderId="61" xfId="0" applyFont="1" applyFill="1" applyBorder="1" applyAlignment="1">
      <alignment/>
    </xf>
    <xf numFmtId="0" fontId="5" fillId="0" borderId="114" xfId="0" applyFont="1" applyBorder="1" applyAlignment="1">
      <alignment/>
    </xf>
    <xf numFmtId="2" fontId="5" fillId="0" borderId="115" xfId="0" applyNumberFormat="1" applyFont="1" applyBorder="1" applyAlignment="1">
      <alignment wrapText="1"/>
    </xf>
    <xf numFmtId="0" fontId="13" fillId="0" borderId="83" xfId="0" applyFill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19" xfId="0" applyFont="1" applyBorder="1" applyAlignment="1">
      <alignment vertical="top" wrapText="1"/>
    </xf>
    <xf numFmtId="0" fontId="24" fillId="0" borderId="116" xfId="0" applyFont="1" applyBorder="1" applyAlignment="1">
      <alignment wrapText="1"/>
    </xf>
    <xf numFmtId="0" fontId="5" fillId="0" borderId="117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8" xfId="0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18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19" xfId="0" applyFont="1" applyBorder="1" applyAlignment="1">
      <alignment horizontal="center" wrapText="1"/>
    </xf>
    <xf numFmtId="0" fontId="0" fillId="0" borderId="48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0" fillId="0" borderId="118" xfId="0" applyFont="1" applyBorder="1" applyAlignment="1">
      <alignment horizontal="center" wrapText="1" shrinkToFit="1"/>
    </xf>
    <xf numFmtId="0" fontId="0" fillId="0" borderId="116" xfId="0" applyFont="1" applyBorder="1" applyAlignment="1">
      <alignment horizontal="center" wrapText="1" shrinkToFit="1"/>
    </xf>
    <xf numFmtId="0" fontId="0" fillId="0" borderId="118" xfId="0" applyFont="1" applyBorder="1" applyAlignment="1">
      <alignment horizontal="center" wrapText="1"/>
    </xf>
    <xf numFmtId="0" fontId="0" fillId="0" borderId="94" xfId="0" applyBorder="1" applyAlignment="1">
      <alignment/>
    </xf>
    <xf numFmtId="3" fontId="0" fillId="0" borderId="94" xfId="0" applyNumberFormat="1" applyBorder="1" applyAlignment="1">
      <alignment/>
    </xf>
    <xf numFmtId="0" fontId="0" fillId="0" borderId="116" xfId="0" applyFont="1" applyBorder="1" applyAlignment="1">
      <alignment horizontal="center" wrapText="1"/>
    </xf>
    <xf numFmtId="0" fontId="0" fillId="0" borderId="121" xfId="0" applyFont="1" applyBorder="1" applyAlignment="1">
      <alignment horizontal="left" wrapText="1"/>
    </xf>
    <xf numFmtId="0" fontId="0" fillId="0" borderId="121" xfId="0" applyFont="1" applyBorder="1" applyAlignment="1">
      <alignment horizontal="left"/>
    </xf>
    <xf numFmtId="0" fontId="0" fillId="0" borderId="111" xfId="0" applyFont="1" applyBorder="1" applyAlignment="1">
      <alignment wrapText="1"/>
    </xf>
    <xf numFmtId="3" fontId="0" fillId="0" borderId="111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3" fontId="5" fillId="0" borderId="55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5" fillId="0" borderId="88" xfId="0" applyFont="1" applyBorder="1" applyAlignment="1">
      <alignment/>
    </xf>
    <xf numFmtId="0" fontId="5" fillId="0" borderId="23" xfId="0" applyFont="1" applyBorder="1" applyAlignment="1">
      <alignment/>
    </xf>
    <xf numFmtId="0" fontId="5" fillId="3" borderId="23" xfId="0" applyFont="1" applyFill="1" applyBorder="1" applyAlignment="1">
      <alignment/>
    </xf>
    <xf numFmtId="0" fontId="0" fillId="0" borderId="8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2" fillId="0" borderId="122" xfId="0" applyFont="1" applyBorder="1" applyAlignment="1">
      <alignment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15" fillId="0" borderId="62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</cellXfs>
  <cellStyles count="7">
    <cellStyle name="Normal" xfId="0"/>
    <cellStyle name="020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0125" y="28670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00125" y="28670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324600" y="28670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14</xdr:row>
      <xdr:rowOff>0</xdr:rowOff>
    </xdr:from>
    <xdr:to>
      <xdr:col>1</xdr:col>
      <xdr:colOff>523875</xdr:colOff>
      <xdr:row>14</xdr:row>
      <xdr:rowOff>0</xdr:rowOff>
    </xdr:to>
    <xdr:sp>
      <xdr:nvSpPr>
        <xdr:cNvPr id="1" name="Arc 1"/>
        <xdr:cNvSpPr>
          <a:spLocks/>
        </xdr:cNvSpPr>
      </xdr:nvSpPr>
      <xdr:spPr>
        <a:xfrm>
          <a:off x="1000125" y="30003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095375" y="30003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14</xdr:row>
      <xdr:rowOff>0</xdr:rowOff>
    </xdr:from>
    <xdr:to>
      <xdr:col>1</xdr:col>
      <xdr:colOff>523875</xdr:colOff>
      <xdr:row>14</xdr:row>
      <xdr:rowOff>0</xdr:rowOff>
    </xdr:to>
    <xdr:sp>
      <xdr:nvSpPr>
        <xdr:cNvPr id="3" name="Arc 3"/>
        <xdr:cNvSpPr>
          <a:spLocks/>
        </xdr:cNvSpPr>
      </xdr:nvSpPr>
      <xdr:spPr>
        <a:xfrm>
          <a:off x="1000125" y="30003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4" name="Rysowanie 11"/>
        <xdr:cNvSpPr>
          <a:spLocks/>
        </xdr:cNvSpPr>
      </xdr:nvSpPr>
      <xdr:spPr>
        <a:xfrm>
          <a:off x="1095375" y="30003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14</xdr:row>
      <xdr:rowOff>0</xdr:rowOff>
    </xdr:from>
    <xdr:to>
      <xdr:col>1</xdr:col>
      <xdr:colOff>523875</xdr:colOff>
      <xdr:row>14</xdr:row>
      <xdr:rowOff>0</xdr:rowOff>
    </xdr:to>
    <xdr:sp>
      <xdr:nvSpPr>
        <xdr:cNvPr id="5" name="Arc 5"/>
        <xdr:cNvSpPr>
          <a:spLocks/>
        </xdr:cNvSpPr>
      </xdr:nvSpPr>
      <xdr:spPr>
        <a:xfrm>
          <a:off x="1000125" y="30003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Rysowanie 11"/>
        <xdr:cNvSpPr>
          <a:spLocks/>
        </xdr:cNvSpPr>
      </xdr:nvSpPr>
      <xdr:spPr>
        <a:xfrm>
          <a:off x="1095375" y="30003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753225" y="28670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14</xdr:row>
      <xdr:rowOff>0</xdr:rowOff>
    </xdr:from>
    <xdr:to>
      <xdr:col>1</xdr:col>
      <xdr:colOff>523875</xdr:colOff>
      <xdr:row>14</xdr:row>
      <xdr:rowOff>0</xdr:rowOff>
    </xdr:to>
    <xdr:sp>
      <xdr:nvSpPr>
        <xdr:cNvPr id="1" name="Arc 1"/>
        <xdr:cNvSpPr>
          <a:spLocks/>
        </xdr:cNvSpPr>
      </xdr:nvSpPr>
      <xdr:spPr>
        <a:xfrm>
          <a:off x="1000125" y="31337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095375" y="31337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" name="AutoShape 1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" name="AutoShape 1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" name="AutoShape 19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" name="AutoShape 21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" name="AutoShape 2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" name="AutoShape 23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" name="AutoShape 25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6" name="AutoShape 2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9" name="AutoShape 29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0" name="AutoShape 3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1" name="AutoShape 31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3" name="AutoShape 33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4" name="AutoShape 3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7" name="AutoShape 37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8" name="AutoShape 3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9" name="AutoShape 39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1" name="AutoShape 41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2" name="AutoShape 4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3" name="AutoShape 43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5" name="AutoShape 45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6" name="AutoShape 4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7" name="AutoShape 47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9" name="AutoShape 49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0" name="AutoShape 5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1" name="AutoShape 51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3" name="AutoShape 53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4" name="AutoShape 5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5" name="AutoShape 55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7" name="AutoShape 57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8" name="AutoShape 5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9" name="AutoShape 59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1" name="AutoShape 61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2" name="AutoShape 6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3" name="AutoShape 63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="70" zoomScaleNormal="70" workbookViewId="0" topLeftCell="A1">
      <selection activeCell="C18" sqref="C18"/>
    </sheetView>
  </sheetViews>
  <sheetFormatPr defaultColWidth="9.00390625" defaultRowHeight="12.75"/>
  <cols>
    <col min="1" max="1" width="5.375" style="83" customWidth="1"/>
    <col min="2" max="2" width="7.75390625" style="83" customWidth="1"/>
    <col min="3" max="3" width="69.875" style="83" customWidth="1"/>
    <col min="4" max="4" width="19.125" style="83" customWidth="1"/>
    <col min="5" max="5" width="14.625" style="83" hidden="1" customWidth="1"/>
    <col min="6" max="6" width="17.375" style="83" customWidth="1"/>
    <col min="7" max="7" width="17.75390625" style="83" customWidth="1"/>
    <col min="8" max="8" width="12.00390625" style="83" customWidth="1"/>
    <col min="9" max="9" width="11.125" style="83" customWidth="1"/>
    <col min="10" max="10" width="15.25390625" style="83" customWidth="1"/>
    <col min="11" max="16384" width="9.125" style="83" customWidth="1"/>
  </cols>
  <sheetData>
    <row r="1" spans="2:6" ht="15" customHeight="1">
      <c r="B1" s="84"/>
      <c r="F1" s="83" t="s">
        <v>358</v>
      </c>
    </row>
    <row r="2" ht="15.75" customHeight="1">
      <c r="F2" s="83" t="s">
        <v>538</v>
      </c>
    </row>
    <row r="3" spans="3:6" ht="17.25" customHeight="1">
      <c r="C3" s="534" t="s">
        <v>202</v>
      </c>
      <c r="F3" s="83" t="s">
        <v>179</v>
      </c>
    </row>
    <row r="4" ht="17.25" customHeight="1">
      <c r="F4" s="83" t="s">
        <v>361</v>
      </c>
    </row>
    <row r="5" ht="14.25" customHeight="1" thickBot="1">
      <c r="G5" s="535" t="s">
        <v>245</v>
      </c>
    </row>
    <row r="6" spans="1:7" ht="78" customHeight="1" thickBot="1" thickTop="1">
      <c r="A6" s="536" t="s">
        <v>283</v>
      </c>
      <c r="B6" s="536" t="s">
        <v>258</v>
      </c>
      <c r="C6" s="505" t="s">
        <v>434</v>
      </c>
      <c r="D6" s="505" t="s">
        <v>186</v>
      </c>
      <c r="E6" s="505" t="s">
        <v>203</v>
      </c>
      <c r="F6" s="536" t="s">
        <v>204</v>
      </c>
      <c r="G6" s="505" t="s">
        <v>305</v>
      </c>
    </row>
    <row r="7" spans="1:7" s="198" customFormat="1" ht="15.75" customHeight="1" thickBot="1" thickTop="1">
      <c r="A7" s="537">
        <v>1</v>
      </c>
      <c r="B7" s="537">
        <v>2</v>
      </c>
      <c r="C7" s="537">
        <v>3</v>
      </c>
      <c r="D7" s="537">
        <v>4</v>
      </c>
      <c r="E7" s="537">
        <v>6</v>
      </c>
      <c r="F7" s="537">
        <v>5</v>
      </c>
      <c r="G7" s="537">
        <v>6</v>
      </c>
    </row>
    <row r="8" spans="1:10" ht="18" customHeight="1" thickBot="1" thickTop="1">
      <c r="A8" s="264"/>
      <c r="B8" s="264"/>
      <c r="C8" s="538" t="s">
        <v>230</v>
      </c>
      <c r="D8" s="539">
        <v>630228203</v>
      </c>
      <c r="E8" s="539"/>
      <c r="F8" s="539">
        <f>F10+F24</f>
        <v>713599</v>
      </c>
      <c r="G8" s="539">
        <f>D8+F8</f>
        <v>630941802</v>
      </c>
      <c r="H8" s="93"/>
      <c r="I8" s="93"/>
      <c r="J8" s="93"/>
    </row>
    <row r="9" spans="1:7" ht="15" customHeight="1" thickTop="1">
      <c r="A9" s="64"/>
      <c r="B9" s="64"/>
      <c r="C9" s="64" t="s">
        <v>224</v>
      </c>
      <c r="D9" s="86"/>
      <c r="E9" s="86"/>
      <c r="F9" s="86"/>
      <c r="G9" s="86"/>
    </row>
    <row r="10" spans="1:10" ht="19.5" customHeight="1" thickBot="1">
      <c r="A10" s="64"/>
      <c r="B10" s="64"/>
      <c r="C10" s="540" t="s">
        <v>181</v>
      </c>
      <c r="D10" s="541">
        <v>435493011</v>
      </c>
      <c r="E10" s="541"/>
      <c r="F10" s="541">
        <f>F18</f>
        <v>427489</v>
      </c>
      <c r="G10" s="541">
        <f aca="true" t="shared" si="0" ref="G10:G32">D10+F10</f>
        <v>435920500</v>
      </c>
      <c r="H10" s="93"/>
      <c r="J10" s="93"/>
    </row>
    <row r="11" spans="1:7" ht="18" customHeight="1" hidden="1" thickBot="1" thickTop="1">
      <c r="A11" s="64"/>
      <c r="B11" s="64"/>
      <c r="C11" s="542" t="s">
        <v>231</v>
      </c>
      <c r="D11" s="543"/>
      <c r="E11" s="543"/>
      <c r="F11" s="543"/>
      <c r="G11" s="543">
        <f t="shared" si="0"/>
        <v>0</v>
      </c>
    </row>
    <row r="12" spans="1:7" ht="18" customHeight="1" hidden="1">
      <c r="A12" s="64"/>
      <c r="B12" s="64"/>
      <c r="C12" s="461" t="s">
        <v>182</v>
      </c>
      <c r="D12" s="544"/>
      <c r="E12" s="544"/>
      <c r="F12" s="544"/>
      <c r="G12" s="544">
        <f t="shared" si="0"/>
        <v>0</v>
      </c>
    </row>
    <row r="13" spans="1:7" s="118" customFormat="1" ht="18" customHeight="1" hidden="1" thickBot="1">
      <c r="A13" s="61"/>
      <c r="B13" s="61"/>
      <c r="C13" s="545" t="s">
        <v>239</v>
      </c>
      <c r="D13" s="546"/>
      <c r="E13" s="546"/>
      <c r="F13" s="546"/>
      <c r="G13" s="546">
        <f t="shared" si="0"/>
        <v>0</v>
      </c>
    </row>
    <row r="14" spans="1:7" s="118" customFormat="1" ht="18" customHeight="1" hidden="1" thickBot="1">
      <c r="A14" s="61"/>
      <c r="B14" s="61"/>
      <c r="C14" s="547" t="s">
        <v>183</v>
      </c>
      <c r="D14" s="548"/>
      <c r="E14" s="548"/>
      <c r="F14" s="548"/>
      <c r="G14" s="548">
        <f t="shared" si="0"/>
        <v>0</v>
      </c>
    </row>
    <row r="15" spans="1:7" ht="18" customHeight="1" hidden="1" thickBot="1" thickTop="1">
      <c r="A15" s="64"/>
      <c r="B15" s="64"/>
      <c r="C15" s="547" t="s">
        <v>336</v>
      </c>
      <c r="D15" s="548"/>
      <c r="E15" s="548"/>
      <c r="F15" s="548"/>
      <c r="G15" s="548">
        <f t="shared" si="0"/>
        <v>0</v>
      </c>
    </row>
    <row r="16" spans="1:7" ht="16.5" customHeight="1" thickBot="1">
      <c r="A16" s="64"/>
      <c r="B16" s="64"/>
      <c r="C16" s="547" t="s">
        <v>231</v>
      </c>
      <c r="D16" s="549">
        <v>289383820</v>
      </c>
      <c r="E16" s="549"/>
      <c r="F16" s="549"/>
      <c r="G16" s="549">
        <f t="shared" si="0"/>
        <v>289383820</v>
      </c>
    </row>
    <row r="17" spans="1:7" ht="18" customHeight="1" thickBot="1" thickTop="1">
      <c r="A17" s="64"/>
      <c r="B17" s="64"/>
      <c r="C17" s="550" t="s">
        <v>182</v>
      </c>
      <c r="D17" s="551">
        <v>110843066</v>
      </c>
      <c r="E17" s="551"/>
      <c r="F17" s="551"/>
      <c r="G17" s="551">
        <f t="shared" si="0"/>
        <v>110843066</v>
      </c>
    </row>
    <row r="18" spans="1:7" ht="19.5" customHeight="1" thickBot="1" thickTop="1">
      <c r="A18" s="85"/>
      <c r="B18" s="85"/>
      <c r="C18" s="547" t="s">
        <v>239</v>
      </c>
      <c r="D18" s="549">
        <v>1947978</v>
      </c>
      <c r="E18" s="549"/>
      <c r="F18" s="549">
        <f>F19</f>
        <v>427489</v>
      </c>
      <c r="G18" s="549">
        <f t="shared" si="0"/>
        <v>2375467</v>
      </c>
    </row>
    <row r="19" spans="1:7" ht="18" customHeight="1" thickTop="1">
      <c r="A19" s="32">
        <v>853</v>
      </c>
      <c r="B19" s="16"/>
      <c r="C19" s="17" t="s">
        <v>229</v>
      </c>
      <c r="D19" s="43">
        <v>1077978</v>
      </c>
      <c r="E19" s="43"/>
      <c r="F19" s="43">
        <f>F20</f>
        <v>427489</v>
      </c>
      <c r="G19" s="43">
        <f t="shared" si="0"/>
        <v>1505467</v>
      </c>
    </row>
    <row r="20" spans="1:7" ht="17.25" customHeight="1">
      <c r="A20" s="19"/>
      <c r="B20" s="20">
        <v>85315</v>
      </c>
      <c r="C20" s="23" t="s">
        <v>234</v>
      </c>
      <c r="D20" s="513">
        <f>D21</f>
        <v>854978</v>
      </c>
      <c r="E20" s="513"/>
      <c r="F20" s="513">
        <f>F21</f>
        <v>427489</v>
      </c>
      <c r="G20" s="513">
        <f>D20+F20</f>
        <v>1282467</v>
      </c>
    </row>
    <row r="21" spans="1:7" ht="27" customHeight="1">
      <c r="A21" s="64"/>
      <c r="B21" s="64"/>
      <c r="C21" s="527" t="s">
        <v>252</v>
      </c>
      <c r="D21" s="528">
        <v>854978</v>
      </c>
      <c r="E21" s="528"/>
      <c r="F21" s="528">
        <v>427489</v>
      </c>
      <c r="G21" s="528">
        <f>D21+F21</f>
        <v>1282467</v>
      </c>
    </row>
    <row r="22" spans="1:7" ht="20.25" customHeight="1" thickBot="1">
      <c r="A22" s="64"/>
      <c r="B22" s="64"/>
      <c r="C22" s="545" t="s">
        <v>248</v>
      </c>
      <c r="D22" s="577">
        <v>11952</v>
      </c>
      <c r="E22" s="577"/>
      <c r="F22" s="577"/>
      <c r="G22" s="577">
        <f t="shared" si="0"/>
        <v>11952</v>
      </c>
    </row>
    <row r="23" spans="1:7" ht="30.75" customHeight="1" thickBot="1" thickTop="1">
      <c r="A23" s="64"/>
      <c r="B23" s="64"/>
      <c r="C23" s="550" t="s">
        <v>185</v>
      </c>
      <c r="D23" s="551">
        <v>33306195</v>
      </c>
      <c r="E23" s="551"/>
      <c r="F23" s="551"/>
      <c r="G23" s="551">
        <f t="shared" si="0"/>
        <v>33306195</v>
      </c>
    </row>
    <row r="24" spans="1:8" ht="19.5" customHeight="1" thickBot="1" thickTop="1">
      <c r="A24" s="64"/>
      <c r="B24" s="64"/>
      <c r="C24" s="540" t="s">
        <v>232</v>
      </c>
      <c r="D24" s="541">
        <v>194735192</v>
      </c>
      <c r="E24" s="541"/>
      <c r="F24" s="541">
        <f>F27+F32</f>
        <v>286110</v>
      </c>
      <c r="G24" s="541">
        <f t="shared" si="0"/>
        <v>195021302</v>
      </c>
      <c r="H24" s="93"/>
    </row>
    <row r="25" spans="1:8" s="518" customFormat="1" ht="19.5" customHeight="1" thickBot="1">
      <c r="A25" s="64"/>
      <c r="B25" s="64"/>
      <c r="C25" s="552" t="s">
        <v>231</v>
      </c>
      <c r="D25" s="543">
        <v>16746019</v>
      </c>
      <c r="E25" s="543"/>
      <c r="F25" s="543"/>
      <c r="G25" s="543">
        <f t="shared" si="0"/>
        <v>16746019</v>
      </c>
      <c r="H25" s="304"/>
    </row>
    <row r="26" spans="1:7" ht="18" customHeight="1" thickBot="1" thickTop="1">
      <c r="A26" s="64"/>
      <c r="B26" s="64"/>
      <c r="C26" s="550" t="s">
        <v>182</v>
      </c>
      <c r="D26" s="678">
        <v>134739658</v>
      </c>
      <c r="E26" s="678"/>
      <c r="F26" s="678"/>
      <c r="G26" s="678">
        <f t="shared" si="0"/>
        <v>134739658</v>
      </c>
    </row>
    <row r="27" spans="1:7" ht="20.25" customHeight="1" thickBot="1" thickTop="1">
      <c r="A27" s="64"/>
      <c r="B27" s="64"/>
      <c r="C27" s="547" t="s">
        <v>239</v>
      </c>
      <c r="D27" s="548">
        <v>20085000</v>
      </c>
      <c r="E27" s="548"/>
      <c r="F27" s="548">
        <f>F28</f>
        <v>277259</v>
      </c>
      <c r="G27" s="548">
        <f t="shared" si="0"/>
        <v>20362259</v>
      </c>
    </row>
    <row r="28" spans="1:7" ht="18" customHeight="1" thickTop="1">
      <c r="A28" s="27">
        <v>854</v>
      </c>
      <c r="B28" s="28"/>
      <c r="C28" s="17" t="s">
        <v>238</v>
      </c>
      <c r="D28" s="43">
        <v>72000</v>
      </c>
      <c r="E28" s="43"/>
      <c r="F28" s="43">
        <f>F29+F31</f>
        <v>277259</v>
      </c>
      <c r="G28" s="43">
        <f>D28+F28</f>
        <v>349259</v>
      </c>
    </row>
    <row r="29" spans="1:7" ht="17.25" customHeight="1">
      <c r="A29" s="19"/>
      <c r="B29" s="20">
        <v>85415</v>
      </c>
      <c r="C29" s="23" t="s">
        <v>253</v>
      </c>
      <c r="D29" s="513"/>
      <c r="E29" s="513"/>
      <c r="F29" s="513">
        <f>F30</f>
        <v>277259</v>
      </c>
      <c r="G29" s="513">
        <f>D29+F29</f>
        <v>277259</v>
      </c>
    </row>
    <row r="30" spans="1:7" ht="20.25" customHeight="1">
      <c r="A30" s="85"/>
      <c r="B30" s="85"/>
      <c r="C30" s="506" t="s">
        <v>519</v>
      </c>
      <c r="D30" s="246"/>
      <c r="E30" s="246"/>
      <c r="F30" s="246">
        <v>277259</v>
      </c>
      <c r="G30" s="246">
        <f>D30+F30</f>
        <v>277259</v>
      </c>
    </row>
    <row r="31" spans="1:7" ht="19.5" customHeight="1" thickBot="1">
      <c r="A31" s="64"/>
      <c r="B31" s="64"/>
      <c r="C31" s="547" t="s">
        <v>248</v>
      </c>
      <c r="D31" s="548">
        <v>2492981</v>
      </c>
      <c r="E31" s="548"/>
      <c r="F31" s="548"/>
      <c r="G31" s="548">
        <f t="shared" si="0"/>
        <v>2492981</v>
      </c>
    </row>
    <row r="32" spans="1:7" ht="20.25" customHeight="1" thickBot="1" thickTop="1">
      <c r="A32" s="85"/>
      <c r="B32" s="85"/>
      <c r="C32" s="550" t="s">
        <v>249</v>
      </c>
      <c r="D32" s="678">
        <v>20671534</v>
      </c>
      <c r="E32" s="678"/>
      <c r="F32" s="678">
        <f>F33</f>
        <v>8851</v>
      </c>
      <c r="G32" s="678">
        <f t="shared" si="0"/>
        <v>20680385</v>
      </c>
    </row>
    <row r="33" spans="1:7" ht="18" customHeight="1" thickTop="1">
      <c r="A33" s="32">
        <v>853</v>
      </c>
      <c r="B33" s="16"/>
      <c r="C33" s="17" t="s">
        <v>229</v>
      </c>
      <c r="D33" s="43">
        <v>3983000</v>
      </c>
      <c r="E33" s="43"/>
      <c r="F33" s="43">
        <f>F34+F36</f>
        <v>8851</v>
      </c>
      <c r="G33" s="43">
        <f>D33+F33</f>
        <v>3991851</v>
      </c>
    </row>
    <row r="34" spans="1:7" ht="17.25" customHeight="1">
      <c r="A34" s="19"/>
      <c r="B34" s="20">
        <v>85334</v>
      </c>
      <c r="C34" s="23" t="s">
        <v>350</v>
      </c>
      <c r="D34" s="513"/>
      <c r="E34" s="513"/>
      <c r="F34" s="513">
        <f>F35</f>
        <v>8851</v>
      </c>
      <c r="G34" s="513">
        <f>D34+F34</f>
        <v>8851</v>
      </c>
    </row>
    <row r="35" spans="1:7" ht="20.25" customHeight="1">
      <c r="A35" s="85"/>
      <c r="B35" s="85"/>
      <c r="C35" s="506" t="s">
        <v>520</v>
      </c>
      <c r="D35" s="246"/>
      <c r="E35" s="246"/>
      <c r="F35" s="246">
        <v>8851</v>
      </c>
      <c r="G35" s="246">
        <f>D35+F35</f>
        <v>8851</v>
      </c>
    </row>
  </sheetData>
  <printOptions horizontalCentered="1"/>
  <pageMargins left="0.5905511811023623" right="0.5905511811023623" top="0.5905511811023623" bottom="0.7874015748031497" header="0.5118110236220472" footer="0.5118110236220472"/>
  <pageSetup firstPageNumber="3" useFirstPageNumber="1" horizontalDpi="600" verticalDpi="600" orientation="landscape" paperSize="9" scale="95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="75" zoomScaleNormal="75" workbookViewId="0" topLeftCell="E1">
      <selection activeCell="I17" sqref="I17"/>
    </sheetView>
  </sheetViews>
  <sheetFormatPr defaultColWidth="9.125" defaultRowHeight="12.75"/>
  <cols>
    <col min="1" max="1" width="6.125" style="83" customWidth="1"/>
    <col min="2" max="2" width="8.125" style="83" customWidth="1"/>
    <col min="3" max="3" width="6.75390625" style="83" customWidth="1"/>
    <col min="4" max="4" width="57.125" style="83" customWidth="1"/>
    <col min="5" max="5" width="20.00390625" style="83" customWidth="1"/>
    <col min="6" max="6" width="14.25390625" style="83" hidden="1" customWidth="1"/>
    <col min="7" max="7" width="12.375" style="83" customWidth="1"/>
    <col min="8" max="8" width="13.25390625" style="83" customWidth="1"/>
    <col min="9" max="9" width="20.25390625" style="83" customWidth="1"/>
    <col min="10" max="10" width="12.00390625" style="83" customWidth="1"/>
    <col min="11" max="11" width="13.375" style="83" customWidth="1"/>
  </cols>
  <sheetData>
    <row r="1" spans="2:10" ht="15" customHeight="1">
      <c r="B1" s="288"/>
      <c r="D1" s="52"/>
      <c r="J1" s="2" t="s">
        <v>354</v>
      </c>
    </row>
    <row r="2" spans="1:10" ht="15" customHeight="1">
      <c r="A2" s="289" t="s">
        <v>316</v>
      </c>
      <c r="B2" s="289"/>
      <c r="C2" s="289"/>
      <c r="D2" s="289"/>
      <c r="J2" s="81" t="s">
        <v>538</v>
      </c>
    </row>
    <row r="3" spans="1:10" ht="15" customHeight="1">
      <c r="A3" s="780" t="s">
        <v>317</v>
      </c>
      <c r="B3" s="780"/>
      <c r="C3" s="780"/>
      <c r="D3" s="780"/>
      <c r="J3" s="81" t="s">
        <v>179</v>
      </c>
    </row>
    <row r="4" spans="1:10" ht="15" customHeight="1">
      <c r="A4" s="780" t="s">
        <v>176</v>
      </c>
      <c r="B4" s="780"/>
      <c r="C4" s="780"/>
      <c r="D4" s="780"/>
      <c r="G4" s="84"/>
      <c r="J4" s="81" t="s">
        <v>530</v>
      </c>
    </row>
    <row r="5" spans="1:11" ht="9.75" customHeight="1">
      <c r="A5" s="290"/>
      <c r="B5" s="290"/>
      <c r="C5" s="290"/>
      <c r="D5" s="290"/>
      <c r="E5" s="291"/>
      <c r="F5" s="291"/>
      <c r="G5" s="291"/>
      <c r="H5" s="291"/>
      <c r="I5" s="291"/>
      <c r="J5" s="291"/>
      <c r="K5" s="291"/>
    </row>
    <row r="6" spans="5:11" ht="12" customHeight="1" thickBot="1">
      <c r="E6" s="260"/>
      <c r="F6" s="260"/>
      <c r="G6" s="260"/>
      <c r="H6" s="260"/>
      <c r="I6" s="260"/>
      <c r="J6" s="260"/>
      <c r="K6" s="260" t="s">
        <v>245</v>
      </c>
    </row>
    <row r="7" spans="1:11" ht="20.25" customHeight="1" thickTop="1">
      <c r="A7" s="96"/>
      <c r="B7" s="96"/>
      <c r="C7" s="96"/>
      <c r="D7" s="97" t="s">
        <v>233</v>
      </c>
      <c r="E7" s="781" t="s">
        <v>382</v>
      </c>
      <c r="G7" s="292"/>
      <c r="H7" s="781" t="s">
        <v>318</v>
      </c>
      <c r="I7" s="781" t="s">
        <v>383</v>
      </c>
      <c r="J7" s="292"/>
      <c r="K7" s="781" t="s">
        <v>319</v>
      </c>
    </row>
    <row r="8" spans="1:11" ht="61.5" customHeight="1" thickBot="1">
      <c r="A8" s="87" t="s">
        <v>241</v>
      </c>
      <c r="B8" s="1" t="s">
        <v>320</v>
      </c>
      <c r="C8" s="1" t="s">
        <v>243</v>
      </c>
      <c r="D8" s="1" t="s">
        <v>259</v>
      </c>
      <c r="E8" s="783"/>
      <c r="F8" s="1" t="s">
        <v>323</v>
      </c>
      <c r="G8" s="1" t="s">
        <v>288</v>
      </c>
      <c r="H8" s="782"/>
      <c r="I8" s="783"/>
      <c r="J8" s="1" t="s">
        <v>288</v>
      </c>
      <c r="K8" s="782"/>
    </row>
    <row r="9" spans="1:11" ht="12.75" customHeight="1" thickBot="1" thickTop="1">
      <c r="A9" s="293">
        <v>1</v>
      </c>
      <c r="B9" s="293">
        <v>2</v>
      </c>
      <c r="C9" s="293">
        <v>3</v>
      </c>
      <c r="D9" s="293">
        <v>4</v>
      </c>
      <c r="E9" s="293">
        <v>5</v>
      </c>
      <c r="F9" s="293">
        <v>6</v>
      </c>
      <c r="G9" s="293">
        <v>6</v>
      </c>
      <c r="H9" s="293">
        <v>7</v>
      </c>
      <c r="I9" s="294">
        <v>8</v>
      </c>
      <c r="J9" s="293">
        <v>9</v>
      </c>
      <c r="K9" s="293">
        <v>10</v>
      </c>
    </row>
    <row r="10" spans="1:11" ht="23.25" customHeight="1" thickBot="1" thickTop="1">
      <c r="A10" s="295"/>
      <c r="B10" s="295"/>
      <c r="C10" s="296"/>
      <c r="D10" s="297" t="s">
        <v>324</v>
      </c>
      <c r="E10" s="298">
        <v>62499979</v>
      </c>
      <c r="F10" s="298"/>
      <c r="G10" s="298">
        <f>G11</f>
        <v>8851</v>
      </c>
      <c r="H10" s="298">
        <f>E10+G10</f>
        <v>62508830</v>
      </c>
      <c r="I10" s="299">
        <v>53973979</v>
      </c>
      <c r="J10" s="298">
        <f>J11</f>
        <v>8851</v>
      </c>
      <c r="K10" s="298">
        <f aca="true" t="shared" si="0" ref="K10:K18">I10+J10</f>
        <v>53982830</v>
      </c>
    </row>
    <row r="11" spans="1:11" ht="28.5" customHeight="1" thickBot="1">
      <c r="A11" s="13"/>
      <c r="B11" s="14"/>
      <c r="C11" s="14"/>
      <c r="D11" s="481" t="s">
        <v>531</v>
      </c>
      <c r="E11" s="482">
        <v>28531784</v>
      </c>
      <c r="F11" s="482"/>
      <c r="G11" s="482">
        <f>G17</f>
        <v>8851</v>
      </c>
      <c r="H11" s="482">
        <f>E11+G11</f>
        <v>28540635</v>
      </c>
      <c r="I11" s="483">
        <v>20667784</v>
      </c>
      <c r="J11" s="482">
        <f>J12+J17</f>
        <v>8851</v>
      </c>
      <c r="K11" s="482">
        <f t="shared" si="0"/>
        <v>20676635</v>
      </c>
    </row>
    <row r="12" spans="1:11" ht="19.5" customHeight="1" thickTop="1">
      <c r="A12" s="72">
        <v>700</v>
      </c>
      <c r="B12" s="72"/>
      <c r="C12" s="72"/>
      <c r="D12" s="72" t="s">
        <v>308</v>
      </c>
      <c r="E12" s="278">
        <v>8073000</v>
      </c>
      <c r="F12" s="278"/>
      <c r="G12" s="278"/>
      <c r="H12" s="278">
        <f>E12</f>
        <v>8073000</v>
      </c>
      <c r="I12" s="278">
        <v>320000</v>
      </c>
      <c r="J12" s="278">
        <f>J13</f>
        <v>0</v>
      </c>
      <c r="K12" s="43">
        <f t="shared" si="0"/>
        <v>320000</v>
      </c>
    </row>
    <row r="13" spans="1:11" ht="19.5" customHeight="1">
      <c r="A13" s="64"/>
      <c r="B13" s="62">
        <v>70005</v>
      </c>
      <c r="C13" s="62"/>
      <c r="D13" s="62" t="s">
        <v>322</v>
      </c>
      <c r="E13" s="286">
        <v>8073000</v>
      </c>
      <c r="F13" s="286"/>
      <c r="G13" s="286"/>
      <c r="H13" s="286">
        <f>E13+G13</f>
        <v>8073000</v>
      </c>
      <c r="I13" s="286">
        <v>320000</v>
      </c>
      <c r="J13" s="286">
        <f>J14</f>
        <v>0</v>
      </c>
      <c r="K13" s="301">
        <f t="shared" si="0"/>
        <v>320000</v>
      </c>
    </row>
    <row r="14" spans="1:11" ht="19.5" customHeight="1">
      <c r="A14" s="64"/>
      <c r="B14" s="65"/>
      <c r="C14" s="65"/>
      <c r="D14" s="121" t="s">
        <v>187</v>
      </c>
      <c r="E14" s="26"/>
      <c r="F14" s="31"/>
      <c r="G14" s="31"/>
      <c r="H14" s="31"/>
      <c r="I14" s="31">
        <v>320000</v>
      </c>
      <c r="J14" s="31">
        <f>SUM(J15:J16)</f>
        <v>0</v>
      </c>
      <c r="K14" s="300">
        <f t="shared" si="0"/>
        <v>320000</v>
      </c>
    </row>
    <row r="15" spans="1:11" ht="19.5" customHeight="1">
      <c r="A15" s="64"/>
      <c r="B15" s="64"/>
      <c r="C15" s="63">
        <v>4210</v>
      </c>
      <c r="D15" s="119" t="s">
        <v>270</v>
      </c>
      <c r="E15" s="55"/>
      <c r="F15" s="53"/>
      <c r="G15" s="53"/>
      <c r="H15" s="53"/>
      <c r="I15" s="53"/>
      <c r="J15" s="53">
        <v>16000</v>
      </c>
      <c r="K15" s="485">
        <f t="shared" si="0"/>
        <v>16000</v>
      </c>
    </row>
    <row r="16" spans="1:11" ht="19.5" customHeight="1">
      <c r="A16" s="85"/>
      <c r="B16" s="85"/>
      <c r="C16" s="63">
        <v>4590</v>
      </c>
      <c r="D16" s="63" t="s">
        <v>265</v>
      </c>
      <c r="E16" s="55"/>
      <c r="F16" s="53"/>
      <c r="G16" s="53"/>
      <c r="H16" s="53"/>
      <c r="I16" s="53">
        <v>86600</v>
      </c>
      <c r="J16" s="53">
        <v>-16000</v>
      </c>
      <c r="K16" s="485">
        <f t="shared" si="0"/>
        <v>70600</v>
      </c>
    </row>
    <row r="17" spans="1:11" ht="19.5" customHeight="1">
      <c r="A17" s="72">
        <v>853</v>
      </c>
      <c r="B17" s="72"/>
      <c r="C17" s="72"/>
      <c r="D17" s="72" t="s">
        <v>229</v>
      </c>
      <c r="E17" s="278">
        <v>4011000</v>
      </c>
      <c r="F17" s="278"/>
      <c r="G17" s="278">
        <f>G18</f>
        <v>8851</v>
      </c>
      <c r="H17" s="278">
        <f>E17+G17</f>
        <v>4019851</v>
      </c>
      <c r="I17" s="278">
        <v>3983000</v>
      </c>
      <c r="J17" s="278">
        <f>J18</f>
        <v>8851</v>
      </c>
      <c r="K17" s="248">
        <f t="shared" si="0"/>
        <v>3991851</v>
      </c>
    </row>
    <row r="18" spans="1:11" ht="19.5" customHeight="1">
      <c r="A18" s="64"/>
      <c r="B18" s="71">
        <v>85334</v>
      </c>
      <c r="C18" s="71"/>
      <c r="D18" s="39" t="s">
        <v>350</v>
      </c>
      <c r="E18" s="33"/>
      <c r="F18" s="34"/>
      <c r="G18" s="34">
        <f>G19</f>
        <v>8851</v>
      </c>
      <c r="H18" s="34">
        <v>8851</v>
      </c>
      <c r="I18" s="34"/>
      <c r="J18" s="34">
        <f>J21</f>
        <v>8851</v>
      </c>
      <c r="K18" s="301">
        <f t="shared" si="0"/>
        <v>8851</v>
      </c>
    </row>
    <row r="19" spans="1:11" ht="19.5" customHeight="1">
      <c r="A19" s="64"/>
      <c r="B19" s="64"/>
      <c r="C19" s="37"/>
      <c r="D19" s="25" t="s">
        <v>520</v>
      </c>
      <c r="E19" s="26"/>
      <c r="F19" s="31"/>
      <c r="G19" s="31">
        <f>G20</f>
        <v>8851</v>
      </c>
      <c r="H19" s="31">
        <v>8851</v>
      </c>
      <c r="I19" s="31"/>
      <c r="J19" s="31"/>
      <c r="K19" s="302"/>
    </row>
    <row r="20" spans="1:11" ht="40.5" customHeight="1">
      <c r="A20" s="64"/>
      <c r="B20" s="64"/>
      <c r="C20" s="58">
        <v>211</v>
      </c>
      <c r="D20" s="54" t="s">
        <v>532</v>
      </c>
      <c r="E20" s="55"/>
      <c r="F20" s="53"/>
      <c r="G20" s="53">
        <v>8851</v>
      </c>
      <c r="H20" s="53">
        <v>8851</v>
      </c>
      <c r="I20" s="53"/>
      <c r="J20" s="53"/>
      <c r="K20" s="466"/>
    </row>
    <row r="21" spans="1:11" ht="19.5" customHeight="1">
      <c r="A21" s="64"/>
      <c r="B21" s="64"/>
      <c r="C21" s="64"/>
      <c r="D21" s="40" t="s">
        <v>351</v>
      </c>
      <c r="E21" s="303"/>
      <c r="F21" s="303"/>
      <c r="G21" s="303"/>
      <c r="H21" s="303"/>
      <c r="I21" s="303"/>
      <c r="J21" s="303">
        <f>J22</f>
        <v>8851</v>
      </c>
      <c r="K21" s="300">
        <f>I21+J21</f>
        <v>8851</v>
      </c>
    </row>
    <row r="22" spans="1:11" ht="19.5" customHeight="1">
      <c r="A22" s="64"/>
      <c r="B22" s="64"/>
      <c r="C22" s="63">
        <v>3110</v>
      </c>
      <c r="D22" s="78" t="s">
        <v>211</v>
      </c>
      <c r="E22" s="285"/>
      <c r="F22" s="285"/>
      <c r="G22" s="285"/>
      <c r="H22" s="285"/>
      <c r="I22" s="285"/>
      <c r="J22" s="90">
        <v>8851</v>
      </c>
      <c r="K22" s="485">
        <f>I22+J22</f>
        <v>8851</v>
      </c>
    </row>
    <row r="23" spans="1:11" ht="18.75" customHeight="1">
      <c r="A23" s="304"/>
      <c r="B23" s="305"/>
      <c r="C23" s="306"/>
      <c r="D23" s="307" t="s">
        <v>208</v>
      </c>
      <c r="E23" s="307"/>
      <c r="F23" s="307"/>
      <c r="G23" s="307"/>
      <c r="H23" s="308"/>
      <c r="I23" s="309"/>
      <c r="J23" s="307"/>
      <c r="K23" s="307"/>
    </row>
    <row r="24" spans="1:11" ht="27.75" customHeight="1">
      <c r="A24" s="85"/>
      <c r="B24" s="63"/>
      <c r="C24" s="63">
        <v>235</v>
      </c>
      <c r="D24" s="119" t="s">
        <v>326</v>
      </c>
      <c r="E24" s="59">
        <v>8526000</v>
      </c>
      <c r="F24" s="59"/>
      <c r="G24" s="59"/>
      <c r="H24" s="310">
        <v>8526000</v>
      </c>
      <c r="I24" s="59"/>
      <c r="J24" s="59"/>
      <c r="K24" s="59"/>
    </row>
  </sheetData>
  <mergeCells count="6">
    <mergeCell ref="A3:D3"/>
    <mergeCell ref="A4:D4"/>
    <mergeCell ref="H7:H8"/>
    <mergeCell ref="K7:K8"/>
    <mergeCell ref="E7:E8"/>
    <mergeCell ref="I7:I8"/>
  </mergeCells>
  <printOptions horizontalCentered="1"/>
  <pageMargins left="0.5905511811023623" right="0.5905511811023623" top="0.7874015748031497" bottom="0.7874015748031497" header="0.5118110236220472" footer="0.5118110236220472"/>
  <pageSetup firstPageNumber="53" useFirstPageNumber="1" horizontalDpi="600" verticalDpi="600" orientation="landscape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="65" zoomScaleNormal="65" workbookViewId="0" topLeftCell="A6">
      <selection activeCell="H8" sqref="H8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53.625" style="0" customWidth="1"/>
    <col min="4" max="8" width="16.75390625" style="0" customWidth="1"/>
    <col min="9" max="16384" width="11.375" style="0" customWidth="1"/>
  </cols>
  <sheetData>
    <row r="1" spans="1:8" ht="12.75">
      <c r="A1" s="311"/>
      <c r="B1" s="311"/>
      <c r="C1" s="311"/>
      <c r="D1" s="311"/>
      <c r="E1" s="312"/>
      <c r="F1" s="312"/>
      <c r="G1" s="313" t="s">
        <v>356</v>
      </c>
      <c r="H1" s="312"/>
    </row>
    <row r="2" spans="1:8" ht="12.75">
      <c r="A2" s="311"/>
      <c r="B2" s="314"/>
      <c r="C2" s="311"/>
      <c r="D2" s="311"/>
      <c r="E2" s="312"/>
      <c r="F2" s="312"/>
      <c r="G2" s="81" t="s">
        <v>538</v>
      </c>
      <c r="H2" s="312"/>
    </row>
    <row r="3" spans="1:8" ht="15.75">
      <c r="A3" s="311"/>
      <c r="B3" s="311"/>
      <c r="C3" s="315" t="s">
        <v>177</v>
      </c>
      <c r="D3" s="311"/>
      <c r="E3" s="312"/>
      <c r="F3" s="311"/>
      <c r="G3" s="81" t="s">
        <v>179</v>
      </c>
      <c r="H3" s="312"/>
    </row>
    <row r="4" spans="1:8" ht="12.75">
      <c r="A4" s="311"/>
      <c r="B4" s="311"/>
      <c r="C4" s="311"/>
      <c r="D4" s="311"/>
      <c r="E4" s="312"/>
      <c r="F4" s="311"/>
      <c r="G4" s="81" t="s">
        <v>361</v>
      </c>
      <c r="H4" s="312"/>
    </row>
    <row r="5" spans="1:8" ht="6" customHeight="1">
      <c r="A5" s="311"/>
      <c r="B5" s="311"/>
      <c r="C5" s="314"/>
      <c r="D5" s="312"/>
      <c r="E5" s="312"/>
      <c r="F5" s="312"/>
      <c r="G5" s="312"/>
      <c r="H5" s="312"/>
    </row>
    <row r="6" spans="1:8" ht="13.5" thickBot="1">
      <c r="A6" s="311"/>
      <c r="B6" s="311"/>
      <c r="C6" s="314"/>
      <c r="D6" s="312"/>
      <c r="E6" s="316"/>
      <c r="F6" s="316"/>
      <c r="G6" s="316"/>
      <c r="H6" s="317" t="s">
        <v>245</v>
      </c>
    </row>
    <row r="7" spans="1:8" ht="36" customHeight="1" thickBot="1" thickTop="1">
      <c r="A7" s="318" t="s">
        <v>241</v>
      </c>
      <c r="B7" s="319" t="s">
        <v>320</v>
      </c>
      <c r="C7" s="319" t="s">
        <v>327</v>
      </c>
      <c r="D7" s="532" t="s">
        <v>384</v>
      </c>
      <c r="E7" s="320" t="s">
        <v>328</v>
      </c>
      <c r="F7" s="320" t="s">
        <v>329</v>
      </c>
      <c r="G7" s="320" t="s">
        <v>330</v>
      </c>
      <c r="H7" s="320" t="s">
        <v>331</v>
      </c>
    </row>
    <row r="8" spans="1:8" ht="14.25" thickBot="1" thickTop="1">
      <c r="A8" s="321">
        <v>1</v>
      </c>
      <c r="B8" s="321">
        <v>2</v>
      </c>
      <c r="C8" s="322">
        <v>3</v>
      </c>
      <c r="D8" s="323">
        <v>4</v>
      </c>
      <c r="E8" s="323">
        <v>5</v>
      </c>
      <c r="F8" s="323">
        <v>6</v>
      </c>
      <c r="G8" s="323">
        <v>7</v>
      </c>
      <c r="H8" s="323">
        <v>8</v>
      </c>
    </row>
    <row r="9" spans="1:8" ht="30.75" customHeight="1" thickBot="1" thickTop="1">
      <c r="A9" s="324"/>
      <c r="B9" s="325"/>
      <c r="C9" s="326" t="s">
        <v>332</v>
      </c>
      <c r="D9" s="327">
        <f aca="true" t="shared" si="0" ref="D9:D23">SUM(E9:H9)</f>
        <v>630941802</v>
      </c>
      <c r="E9" s="327">
        <f>167285708+E16+E20+E23</f>
        <v>167722048</v>
      </c>
      <c r="F9" s="327">
        <f>152079561+F20</f>
        <v>152356820</v>
      </c>
      <c r="G9" s="327">
        <v>155092528</v>
      </c>
      <c r="H9" s="327">
        <v>155770406</v>
      </c>
    </row>
    <row r="10" spans="1:8" ht="23.25" customHeight="1" thickBot="1" thickTop="1">
      <c r="A10" s="328"/>
      <c r="B10" s="328"/>
      <c r="C10" s="605" t="s">
        <v>362</v>
      </c>
      <c r="D10" s="329">
        <f t="shared" si="0"/>
        <v>616675492</v>
      </c>
      <c r="E10" s="329">
        <f>163651633+E16+E20+E23</f>
        <v>164087973</v>
      </c>
      <c r="F10" s="329">
        <f>148427760+F20</f>
        <v>148705019</v>
      </c>
      <c r="G10" s="329">
        <v>151758290</v>
      </c>
      <c r="H10" s="329">
        <v>152124210</v>
      </c>
    </row>
    <row r="11" spans="1:8" ht="24.75" customHeight="1" thickTop="1">
      <c r="A11" s="330"/>
      <c r="B11" s="330"/>
      <c r="C11" s="331" t="s">
        <v>205</v>
      </c>
      <c r="D11" s="332">
        <f t="shared" si="0"/>
        <v>553799842</v>
      </c>
      <c r="E11" s="332">
        <f>150775833+E16+E20+E23</f>
        <v>151212173</v>
      </c>
      <c r="F11" s="332">
        <f>130792330+F20</f>
        <v>131069589</v>
      </c>
      <c r="G11" s="332">
        <v>135150990</v>
      </c>
      <c r="H11" s="332">
        <v>136367090</v>
      </c>
    </row>
    <row r="12" spans="1:8" s="337" customFormat="1" ht="23.25" customHeight="1">
      <c r="A12" s="333"/>
      <c r="B12" s="333"/>
      <c r="C12" s="334" t="s">
        <v>333</v>
      </c>
      <c r="D12" s="335">
        <f t="shared" si="0"/>
        <v>371642340</v>
      </c>
      <c r="E12" s="336">
        <f>98884578+E16</f>
        <v>99312067</v>
      </c>
      <c r="F12" s="336">
        <v>86847941</v>
      </c>
      <c r="G12" s="336">
        <v>92085041</v>
      </c>
      <c r="H12" s="336">
        <v>93397291</v>
      </c>
    </row>
    <row r="13" spans="1:8" ht="21" customHeight="1" thickBot="1">
      <c r="A13" s="338"/>
      <c r="B13" s="339"/>
      <c r="C13" s="340" t="s">
        <v>239</v>
      </c>
      <c r="D13" s="341">
        <f t="shared" si="0"/>
        <v>2375467</v>
      </c>
      <c r="E13" s="341">
        <f>1259978+E16</f>
        <v>1687467</v>
      </c>
      <c r="F13" s="341">
        <v>441000</v>
      </c>
      <c r="G13" s="341">
        <v>147000</v>
      </c>
      <c r="H13" s="341">
        <v>100000</v>
      </c>
    </row>
    <row r="14" spans="1:8" s="337" customFormat="1" ht="21" customHeight="1" thickTop="1">
      <c r="A14" s="342">
        <v>853</v>
      </c>
      <c r="B14" s="343"/>
      <c r="C14" s="344" t="s">
        <v>229</v>
      </c>
      <c r="D14" s="345">
        <f t="shared" si="0"/>
        <v>1505467</v>
      </c>
      <c r="E14" s="345">
        <f>1077978+E16</f>
        <v>1505467</v>
      </c>
      <c r="F14" s="345"/>
      <c r="G14" s="345"/>
      <c r="H14" s="345"/>
    </row>
    <row r="15" spans="1:8" s="174" customFormat="1" ht="21" customHeight="1">
      <c r="A15" s="346"/>
      <c r="B15" s="347" t="s">
        <v>346</v>
      </c>
      <c r="C15" s="348" t="s">
        <v>234</v>
      </c>
      <c r="D15" s="353">
        <f t="shared" si="0"/>
        <v>854978</v>
      </c>
      <c r="E15" s="353">
        <v>854978</v>
      </c>
      <c r="F15" s="353"/>
      <c r="G15" s="353"/>
      <c r="H15" s="353"/>
    </row>
    <row r="16" spans="1:8" s="174" customFormat="1" ht="21" customHeight="1">
      <c r="A16" s="349"/>
      <c r="B16" s="350"/>
      <c r="C16" s="351"/>
      <c r="D16" s="352">
        <f t="shared" si="0"/>
        <v>427489</v>
      </c>
      <c r="E16" s="352">
        <v>427489</v>
      </c>
      <c r="F16" s="352"/>
      <c r="G16" s="352"/>
      <c r="H16" s="352"/>
    </row>
    <row r="17" spans="1:8" s="337" customFormat="1" ht="21" customHeight="1">
      <c r="A17" s="333"/>
      <c r="B17" s="333"/>
      <c r="C17" s="334" t="s">
        <v>8</v>
      </c>
      <c r="D17" s="335">
        <f t="shared" si="0"/>
        <v>182157502</v>
      </c>
      <c r="E17" s="336">
        <f>51891255+E20+E23</f>
        <v>51900106</v>
      </c>
      <c r="F17" s="336">
        <f>43944389+F20</f>
        <v>44221648</v>
      </c>
      <c r="G17" s="336">
        <v>43065949</v>
      </c>
      <c r="H17" s="336">
        <v>42969799</v>
      </c>
    </row>
    <row r="18" spans="1:8" ht="21" customHeight="1" thickBot="1">
      <c r="A18" s="356"/>
      <c r="B18" s="356"/>
      <c r="C18" s="357" t="s">
        <v>239</v>
      </c>
      <c r="D18" s="341">
        <f t="shared" si="0"/>
        <v>20362259</v>
      </c>
      <c r="E18" s="341">
        <f>4714750+E20</f>
        <v>4714750</v>
      </c>
      <c r="F18" s="341">
        <f>5787000+F20</f>
        <v>6064259</v>
      </c>
      <c r="G18" s="341">
        <v>4868500</v>
      </c>
      <c r="H18" s="341">
        <v>4714750</v>
      </c>
    </row>
    <row r="19" spans="1:8" s="337" customFormat="1" ht="21" customHeight="1" thickTop="1">
      <c r="A19" s="342">
        <v>854</v>
      </c>
      <c r="B19" s="343"/>
      <c r="C19" s="344" t="s">
        <v>238</v>
      </c>
      <c r="D19" s="345">
        <f>SUM(E19:H19)</f>
        <v>349259</v>
      </c>
      <c r="E19" s="345"/>
      <c r="F19" s="345">
        <f>54000+F20</f>
        <v>331259</v>
      </c>
      <c r="G19" s="345">
        <v>18000</v>
      </c>
      <c r="H19" s="345"/>
    </row>
    <row r="20" spans="1:8" s="174" customFormat="1" ht="21" customHeight="1">
      <c r="A20" s="349"/>
      <c r="B20" s="580" t="s">
        <v>347</v>
      </c>
      <c r="C20" s="581" t="s">
        <v>253</v>
      </c>
      <c r="D20" s="582">
        <f t="shared" si="0"/>
        <v>277259</v>
      </c>
      <c r="E20" s="582"/>
      <c r="F20" s="582">
        <v>277259</v>
      </c>
      <c r="G20" s="582"/>
      <c r="H20" s="582"/>
    </row>
    <row r="21" spans="1:8" ht="27.75" customHeight="1" thickBot="1">
      <c r="A21" s="356"/>
      <c r="B21" s="356"/>
      <c r="C21" s="359" t="s">
        <v>340</v>
      </c>
      <c r="D21" s="341">
        <f t="shared" si="0"/>
        <v>20680385</v>
      </c>
      <c r="E21" s="341">
        <f>5167882+E23</f>
        <v>5176733</v>
      </c>
      <c r="F21" s="341">
        <v>5167884</v>
      </c>
      <c r="G21" s="341">
        <v>5167884</v>
      </c>
      <c r="H21" s="341">
        <v>5167884</v>
      </c>
    </row>
    <row r="22" spans="1:8" s="337" customFormat="1" ht="21" customHeight="1" thickTop="1">
      <c r="A22" s="354">
        <v>853</v>
      </c>
      <c r="B22" s="355"/>
      <c r="C22" s="344" t="s">
        <v>229</v>
      </c>
      <c r="D22" s="345">
        <f t="shared" si="0"/>
        <v>3991851</v>
      </c>
      <c r="E22" s="345">
        <f>995750+E23</f>
        <v>1004601</v>
      </c>
      <c r="F22" s="345">
        <v>995750</v>
      </c>
      <c r="G22" s="345">
        <v>995750</v>
      </c>
      <c r="H22" s="345">
        <v>995750</v>
      </c>
    </row>
    <row r="23" spans="1:8" s="174" customFormat="1" ht="21" customHeight="1">
      <c r="A23" s="578"/>
      <c r="B23" s="580" t="s">
        <v>352</v>
      </c>
      <c r="C23" s="581" t="s">
        <v>350</v>
      </c>
      <c r="D23" s="582">
        <f t="shared" si="0"/>
        <v>8851</v>
      </c>
      <c r="E23" s="582">
        <v>8851</v>
      </c>
      <c r="F23" s="579"/>
      <c r="G23" s="579"/>
      <c r="H23" s="579"/>
    </row>
  </sheetData>
  <printOptions horizontalCentered="1"/>
  <pageMargins left="0.5905511811023623" right="0.5905511811023623" top="0.7874015748031497" bottom="0.7874015748031497" header="0.5118110236220472" footer="0.5118110236220472"/>
  <pageSetup firstPageNumber="54" useFirstPageNumber="1" horizontalDpi="600" verticalDpi="600" orientation="landscape" paperSize="9" scale="9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3"/>
  <sheetViews>
    <sheetView zoomScale="65" zoomScaleNormal="65" workbookViewId="0" topLeftCell="A9">
      <selection activeCell="C23" sqref="C23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9" width="12.125" style="0" customWidth="1"/>
    <col min="10" max="10" width="12.00390625" style="0" customWidth="1"/>
    <col min="11" max="11" width="16.25390625" style="0" customWidth="1"/>
    <col min="12" max="16384" width="11.375" style="0" customWidth="1"/>
  </cols>
  <sheetData>
    <row r="1" spans="1:10" ht="18" customHeight="1">
      <c r="A1" s="360"/>
      <c r="B1" s="360"/>
      <c r="C1" s="360"/>
      <c r="D1" s="361"/>
      <c r="E1" s="361"/>
      <c r="F1" s="361"/>
      <c r="G1" s="362" t="s">
        <v>315</v>
      </c>
      <c r="H1" s="361"/>
      <c r="I1" s="363"/>
      <c r="J1" s="363"/>
    </row>
    <row r="2" spans="1:10" ht="18" customHeight="1">
      <c r="A2" s="360"/>
      <c r="B2" s="360"/>
      <c r="C2" s="360"/>
      <c r="D2" s="361"/>
      <c r="E2" s="361"/>
      <c r="F2" s="361"/>
      <c r="G2" s="81" t="s">
        <v>538</v>
      </c>
      <c r="H2" s="361"/>
      <c r="I2" s="363"/>
      <c r="J2" s="363"/>
    </row>
    <row r="3" spans="1:10" ht="18" customHeight="1">
      <c r="A3" s="360"/>
      <c r="B3" s="360"/>
      <c r="C3" s="533" t="s">
        <v>178</v>
      </c>
      <c r="D3" s="361"/>
      <c r="E3" s="361"/>
      <c r="F3" s="361"/>
      <c r="G3" s="81" t="s">
        <v>198</v>
      </c>
      <c r="H3" s="361"/>
      <c r="I3" s="363"/>
      <c r="J3" s="363"/>
    </row>
    <row r="4" spans="1:10" ht="18" customHeight="1">
      <c r="A4" s="360"/>
      <c r="B4" s="360"/>
      <c r="C4" s="364"/>
      <c r="D4" s="361"/>
      <c r="E4" s="361"/>
      <c r="F4" s="361"/>
      <c r="G4" s="81" t="s">
        <v>361</v>
      </c>
      <c r="H4" s="361"/>
      <c r="I4" s="363"/>
      <c r="J4" s="363"/>
    </row>
    <row r="5" spans="1:10" ht="5.25" customHeight="1">
      <c r="A5" s="360"/>
      <c r="B5" s="360"/>
      <c r="C5" s="365"/>
      <c r="D5" s="361"/>
      <c r="E5" s="361"/>
      <c r="F5" s="361"/>
      <c r="G5" s="361"/>
      <c r="H5" s="361"/>
      <c r="I5" s="363"/>
      <c r="J5" s="363"/>
    </row>
    <row r="6" spans="1:10" ht="15.75" thickBot="1">
      <c r="A6" s="360"/>
      <c r="B6" s="360"/>
      <c r="C6" s="360"/>
      <c r="D6" s="361"/>
      <c r="E6" s="361"/>
      <c r="F6" s="361"/>
      <c r="G6" s="361"/>
      <c r="H6" s="316" t="s">
        <v>245</v>
      </c>
      <c r="I6" s="363"/>
      <c r="J6" s="363"/>
    </row>
    <row r="7" spans="1:10" ht="19.5" customHeight="1" thickTop="1">
      <c r="A7" s="366"/>
      <c r="B7" s="366"/>
      <c r="C7" s="367" t="s">
        <v>256</v>
      </c>
      <c r="D7" s="784" t="s">
        <v>385</v>
      </c>
      <c r="E7" s="369"/>
      <c r="F7" s="368"/>
      <c r="G7" s="368"/>
      <c r="H7" s="369"/>
      <c r="I7" s="363"/>
      <c r="J7" s="363"/>
    </row>
    <row r="8" spans="1:10" ht="26.25" customHeight="1" thickBot="1">
      <c r="A8" s="370" t="s">
        <v>241</v>
      </c>
      <c r="B8" s="370" t="s">
        <v>258</v>
      </c>
      <c r="C8" s="371" t="s">
        <v>341</v>
      </c>
      <c r="D8" s="785"/>
      <c r="E8" s="372" t="s">
        <v>328</v>
      </c>
      <c r="F8" s="372" t="s">
        <v>329</v>
      </c>
      <c r="G8" s="372" t="s">
        <v>330</v>
      </c>
      <c r="H8" s="372" t="s">
        <v>331</v>
      </c>
      <c r="I8" s="363"/>
      <c r="J8" s="363"/>
    </row>
    <row r="9" spans="1:10" ht="14.25" customHeight="1" thickBot="1" thickTop="1">
      <c r="A9" s="373">
        <v>1</v>
      </c>
      <c r="B9" s="373">
        <v>2</v>
      </c>
      <c r="C9" s="373">
        <v>3</v>
      </c>
      <c r="D9" s="374">
        <v>4</v>
      </c>
      <c r="E9" s="374">
        <v>5</v>
      </c>
      <c r="F9" s="374">
        <v>6</v>
      </c>
      <c r="G9" s="374">
        <v>7</v>
      </c>
      <c r="H9" s="374">
        <v>8</v>
      </c>
      <c r="I9" s="363"/>
      <c r="J9" s="363"/>
    </row>
    <row r="10" spans="1:11" s="131" customFormat="1" ht="18" customHeight="1" thickBot="1" thickTop="1">
      <c r="A10" s="375"/>
      <c r="B10" s="375"/>
      <c r="C10" s="376" t="s">
        <v>260</v>
      </c>
      <c r="D10" s="377">
        <f>SUM(E10:H10)</f>
        <v>651826802</v>
      </c>
      <c r="E10" s="377">
        <f>167696708+E22+E27+E29+E31+E37+E40+E42+E52+E57+E59+E68+E139+E143+E146+E151+E156+E158+E160+E162+E166+E173+E175+E177+E179+E181+E183+E169+E131+E124+E34+E47+E80+E164+E66</f>
        <v>169827229</v>
      </c>
      <c r="F10" s="377">
        <f>158696561+F22+F34+F40+F42+F50+F70+F75+F127+F134+F139+F143+F146+F151+F158+F162+F168+F169+F170+F121+F84+F88+F96+F100+F104+F112+F116+F131+F124+F47+F80+F66</f>
        <v>159913360</v>
      </c>
      <c r="G10" s="377">
        <f>165949528+G17+G22+G37+G42+G50+G52+G57+G59+G68+G127+G158+G162+G168+G170+G173+G175+G177+G179+G169+G121+G84+G88+G92+G100+G104+G108+G131+G124+G47+G61+G64+G80+G75+G66</f>
        <v>164519008</v>
      </c>
      <c r="H10" s="377">
        <f>158770406+H22+H42+H50+H156+H160+H162+H166+H168+H170+H175+H177+H179+H181+H183+H169+H121+H88+H131+H47+H80</f>
        <v>157567205</v>
      </c>
      <c r="I10" s="378"/>
      <c r="J10" s="378"/>
      <c r="K10" s="645">
        <v>651826802</v>
      </c>
    </row>
    <row r="11" spans="1:11" ht="15" customHeight="1">
      <c r="A11" s="379"/>
      <c r="B11" s="379"/>
      <c r="C11" s="380" t="s">
        <v>224</v>
      </c>
      <c r="D11" s="381"/>
      <c r="E11" s="382"/>
      <c r="F11" s="382"/>
      <c r="G11" s="382"/>
      <c r="H11" s="382"/>
      <c r="I11" s="363"/>
      <c r="J11" s="363"/>
      <c r="K11" s="82">
        <f>K10-D10</f>
        <v>0</v>
      </c>
    </row>
    <row r="12" spans="1:10" s="337" customFormat="1" ht="18" customHeight="1">
      <c r="A12" s="383"/>
      <c r="B12" s="383"/>
      <c r="C12" s="606" t="s">
        <v>362</v>
      </c>
      <c r="D12" s="384">
        <f aca="true" t="shared" si="0" ref="D12:D22">SUM(E12:H12)</f>
        <v>248413867</v>
      </c>
      <c r="E12" s="385">
        <f>54338227+E22+E27+E29+E31+E37+E40+E42+E52+E57+E59+E68+E34+E47+E80+E66</f>
        <v>53892090</v>
      </c>
      <c r="F12" s="385">
        <f>64941811+F22+F34+F40+F42+F50+F70+F75+F47+F80+F66</f>
        <v>65879420</v>
      </c>
      <c r="G12" s="385">
        <f>69206156+G17+G22++G37+G42+G50+G52+G57+G59+G68+G47+G61+G64+G80+G75+G66</f>
        <v>68789526</v>
      </c>
      <c r="H12" s="385">
        <f>60252081+H22+H42+H50+H47+H80</f>
        <v>59852831</v>
      </c>
      <c r="I12" s="386"/>
      <c r="J12" s="386"/>
    </row>
    <row r="13" spans="1:10" s="416" customFormat="1" ht="19.5" customHeight="1">
      <c r="A13" s="410"/>
      <c r="B13" s="411"/>
      <c r="C13" s="412" t="s">
        <v>205</v>
      </c>
      <c r="D13" s="413">
        <f t="shared" si="0"/>
        <v>17450677</v>
      </c>
      <c r="E13" s="413">
        <v>256750</v>
      </c>
      <c r="F13" s="413">
        <v>4071750</v>
      </c>
      <c r="G13" s="413">
        <f>6288750+G17</f>
        <v>6287750</v>
      </c>
      <c r="H13" s="413">
        <v>6834427</v>
      </c>
      <c r="I13" s="414"/>
      <c r="J13" s="415"/>
    </row>
    <row r="14" spans="1:10" s="337" customFormat="1" ht="19.5" customHeight="1" thickBot="1">
      <c r="A14" s="391"/>
      <c r="B14" s="391"/>
      <c r="C14" s="392" t="s">
        <v>261</v>
      </c>
      <c r="D14" s="393">
        <f t="shared" si="0"/>
        <v>17370677</v>
      </c>
      <c r="E14" s="393">
        <v>176750</v>
      </c>
      <c r="F14" s="393">
        <v>4071750</v>
      </c>
      <c r="G14" s="393">
        <f>6288750+G17</f>
        <v>6287750</v>
      </c>
      <c r="H14" s="393">
        <v>6834427</v>
      </c>
      <c r="I14" s="386"/>
      <c r="J14" s="386"/>
    </row>
    <row r="15" spans="1:10" s="337" customFormat="1" ht="19.5" customHeight="1" thickTop="1">
      <c r="A15" s="394">
        <v>758</v>
      </c>
      <c r="B15" s="395"/>
      <c r="C15" s="396" t="s">
        <v>155</v>
      </c>
      <c r="D15" s="397">
        <f t="shared" si="0"/>
        <v>6223677</v>
      </c>
      <c r="E15" s="398"/>
      <c r="F15" s="398"/>
      <c r="G15" s="398">
        <f>1000000+G17</f>
        <v>999000</v>
      </c>
      <c r="H15" s="398">
        <v>5224677</v>
      </c>
      <c r="I15" s="386"/>
      <c r="J15" s="386"/>
    </row>
    <row r="16" spans="1:10" s="337" customFormat="1" ht="19.5" customHeight="1">
      <c r="A16" s="417"/>
      <c r="B16" s="406">
        <v>75818</v>
      </c>
      <c r="C16" s="418" t="s">
        <v>157</v>
      </c>
      <c r="D16" s="407">
        <f t="shared" si="0"/>
        <v>6224677</v>
      </c>
      <c r="E16" s="407"/>
      <c r="F16" s="407"/>
      <c r="G16" s="407">
        <v>1000000</v>
      </c>
      <c r="H16" s="407">
        <v>5224677</v>
      </c>
      <c r="I16" s="386"/>
      <c r="J16" s="386"/>
    </row>
    <row r="17" spans="1:10" s="337" customFormat="1" ht="19.5" customHeight="1">
      <c r="A17" s="333"/>
      <c r="B17" s="635"/>
      <c r="C17" s="636"/>
      <c r="D17" s="637">
        <f t="shared" si="0"/>
        <v>-1000</v>
      </c>
      <c r="E17" s="637"/>
      <c r="F17" s="637"/>
      <c r="G17" s="638">
        <v>-1000</v>
      </c>
      <c r="H17" s="638"/>
      <c r="I17" s="386"/>
      <c r="J17" s="386"/>
    </row>
    <row r="18" spans="1:10" s="416" customFormat="1" ht="30" customHeight="1">
      <c r="A18" s="410"/>
      <c r="B18" s="640"/>
      <c r="C18" s="641" t="s">
        <v>159</v>
      </c>
      <c r="D18" s="642">
        <f t="shared" si="0"/>
        <v>13551703</v>
      </c>
      <c r="E18" s="642">
        <f>396150+E22</f>
        <v>396400</v>
      </c>
      <c r="F18" s="642">
        <f>3352303+F22</f>
        <v>3352553</v>
      </c>
      <c r="G18" s="642">
        <f>2990100+G22</f>
        <v>2990350</v>
      </c>
      <c r="H18" s="642">
        <f>6812150+H22</f>
        <v>6812400</v>
      </c>
      <c r="I18" s="414"/>
      <c r="J18" s="415"/>
    </row>
    <row r="19" spans="1:10" s="337" customFormat="1" ht="23.25" customHeight="1" thickBot="1">
      <c r="A19" s="391"/>
      <c r="B19" s="391"/>
      <c r="C19" s="392" t="s">
        <v>261</v>
      </c>
      <c r="D19" s="393">
        <f t="shared" si="0"/>
        <v>13151703</v>
      </c>
      <c r="E19" s="393">
        <f>305300+E22</f>
        <v>305550</v>
      </c>
      <c r="F19" s="393">
        <f>3261453+F22</f>
        <v>3261703</v>
      </c>
      <c r="G19" s="393">
        <f>2872650+G22</f>
        <v>2872900</v>
      </c>
      <c r="H19" s="393">
        <f>6711300+H22</f>
        <v>6711550</v>
      </c>
      <c r="I19" s="386"/>
      <c r="J19" s="386"/>
    </row>
    <row r="20" spans="1:10" s="337" customFormat="1" ht="19.5" customHeight="1" thickTop="1">
      <c r="A20" s="643" t="s">
        <v>360</v>
      </c>
      <c r="B20" s="395"/>
      <c r="C20" s="396" t="s">
        <v>188</v>
      </c>
      <c r="D20" s="397">
        <f t="shared" si="0"/>
        <v>4000</v>
      </c>
      <c r="E20" s="398">
        <f>750+E22</f>
        <v>1000</v>
      </c>
      <c r="F20" s="398">
        <f>750+F22</f>
        <v>1000</v>
      </c>
      <c r="G20" s="398">
        <f>750+G22</f>
        <v>1000</v>
      </c>
      <c r="H20" s="398">
        <f>750+H22</f>
        <v>1000</v>
      </c>
      <c r="I20" s="386"/>
      <c r="J20" s="386"/>
    </row>
    <row r="21" spans="1:10" s="337" customFormat="1" ht="19.5" customHeight="1">
      <c r="A21" s="417"/>
      <c r="B21" s="644" t="s">
        <v>189</v>
      </c>
      <c r="C21" s="418" t="s">
        <v>190</v>
      </c>
      <c r="D21" s="407">
        <f t="shared" si="0"/>
        <v>3000</v>
      </c>
      <c r="E21" s="407">
        <v>750</v>
      </c>
      <c r="F21" s="407">
        <v>750</v>
      </c>
      <c r="G21" s="407">
        <v>750</v>
      </c>
      <c r="H21" s="407">
        <v>750</v>
      </c>
      <c r="I21" s="386"/>
      <c r="J21" s="386"/>
    </row>
    <row r="22" spans="1:10" s="337" customFormat="1" ht="19.5" customHeight="1">
      <c r="A22" s="333"/>
      <c r="B22" s="470"/>
      <c r="C22" s="408"/>
      <c r="D22" s="419">
        <f t="shared" si="0"/>
        <v>1000</v>
      </c>
      <c r="E22" s="419">
        <v>250</v>
      </c>
      <c r="F22" s="419">
        <v>250</v>
      </c>
      <c r="G22" s="420">
        <v>250</v>
      </c>
      <c r="H22" s="420">
        <v>250</v>
      </c>
      <c r="I22" s="386"/>
      <c r="J22" s="386"/>
    </row>
    <row r="23" spans="1:10" s="337" customFormat="1" ht="19.5" customHeight="1">
      <c r="A23" s="387"/>
      <c r="B23" s="387"/>
      <c r="C23" s="388" t="s">
        <v>440</v>
      </c>
      <c r="D23" s="389">
        <f aca="true" t="shared" si="1" ref="D23:D52">SUM(E23:H23)</f>
        <v>39759043</v>
      </c>
      <c r="E23" s="389">
        <f>12085313+E27+E29+E31+E37+E40+E42+E34</f>
        <v>11459931</v>
      </c>
      <c r="F23" s="389">
        <f>10423716+F34+F40+F42</f>
        <v>10475116</v>
      </c>
      <c r="G23" s="389">
        <f>9684486+G37+G42</f>
        <v>9687601</v>
      </c>
      <c r="H23" s="389">
        <f>8135895+H42</f>
        <v>8136395</v>
      </c>
      <c r="I23" s="390"/>
      <c r="J23" s="386"/>
    </row>
    <row r="24" spans="1:10" s="337" customFormat="1" ht="19.5" customHeight="1" thickBot="1">
      <c r="A24" s="391"/>
      <c r="B24" s="391"/>
      <c r="C24" s="392" t="s">
        <v>261</v>
      </c>
      <c r="D24" s="393">
        <f t="shared" si="1"/>
        <v>39383043</v>
      </c>
      <c r="E24" s="393">
        <f>11964898+E27+E29+E31+E37+E40+E42+E34</f>
        <v>11339516</v>
      </c>
      <c r="F24" s="393">
        <f>10331855+F34+F40+F42</f>
        <v>10383255</v>
      </c>
      <c r="G24" s="393">
        <f>9602625+G37+G42</f>
        <v>9605740</v>
      </c>
      <c r="H24" s="393">
        <f>8054032+H42</f>
        <v>8054532</v>
      </c>
      <c r="I24" s="386"/>
      <c r="J24" s="386"/>
    </row>
    <row r="25" spans="1:10" s="337" customFormat="1" ht="19.5" customHeight="1" thickTop="1">
      <c r="A25" s="421">
        <v>851</v>
      </c>
      <c r="B25" s="421"/>
      <c r="C25" s="396" t="s">
        <v>228</v>
      </c>
      <c r="D25" s="397">
        <f t="shared" si="1"/>
        <v>5058144</v>
      </c>
      <c r="E25" s="398">
        <f>2993500+E27+E29+E31</f>
        <v>1995644</v>
      </c>
      <c r="F25" s="398">
        <v>1736250</v>
      </c>
      <c r="G25" s="398">
        <v>976250</v>
      </c>
      <c r="H25" s="398">
        <v>350000</v>
      </c>
      <c r="I25" s="386"/>
      <c r="J25" s="386"/>
    </row>
    <row r="26" spans="1:10" s="337" customFormat="1" ht="19.5" customHeight="1">
      <c r="A26" s="387"/>
      <c r="B26" s="333">
        <v>85153</v>
      </c>
      <c r="C26" s="423" t="s">
        <v>401</v>
      </c>
      <c r="D26" s="424">
        <f t="shared" si="1"/>
        <v>100000</v>
      </c>
      <c r="E26" s="424">
        <v>65000</v>
      </c>
      <c r="F26" s="424">
        <v>25000</v>
      </c>
      <c r="G26" s="424">
        <v>10000</v>
      </c>
      <c r="H26" s="424"/>
      <c r="I26" s="386"/>
      <c r="J26" s="386"/>
    </row>
    <row r="27" spans="1:10" s="337" customFormat="1" ht="19.5" customHeight="1">
      <c r="A27" s="333"/>
      <c r="B27" s="402"/>
      <c r="C27" s="405"/>
      <c r="D27" s="404">
        <f t="shared" si="1"/>
        <v>-26000</v>
      </c>
      <c r="E27" s="404">
        <v>-26000</v>
      </c>
      <c r="F27" s="404"/>
      <c r="G27" s="404"/>
      <c r="H27" s="404"/>
      <c r="I27" s="386"/>
      <c r="J27" s="386"/>
    </row>
    <row r="28" spans="1:10" s="337" customFormat="1" ht="19.5" customHeight="1">
      <c r="A28" s="387"/>
      <c r="B28" s="333">
        <v>85154</v>
      </c>
      <c r="C28" s="423" t="s">
        <v>246</v>
      </c>
      <c r="D28" s="424">
        <f t="shared" si="1"/>
        <v>2761000</v>
      </c>
      <c r="E28" s="424">
        <v>1561000</v>
      </c>
      <c r="F28" s="424">
        <v>500000</v>
      </c>
      <c r="G28" s="424">
        <v>400000</v>
      </c>
      <c r="H28" s="424">
        <v>300000</v>
      </c>
      <c r="I28" s="386"/>
      <c r="J28" s="386"/>
    </row>
    <row r="29" spans="1:10" s="337" customFormat="1" ht="19.5" customHeight="1">
      <c r="A29" s="333"/>
      <c r="B29" s="402"/>
      <c r="C29" s="405"/>
      <c r="D29" s="404">
        <f t="shared" si="1"/>
        <v>-858056</v>
      </c>
      <c r="E29" s="404">
        <f>-37316-820740</f>
        <v>-858056</v>
      </c>
      <c r="F29" s="404"/>
      <c r="G29" s="404"/>
      <c r="H29" s="404"/>
      <c r="I29" s="386"/>
      <c r="J29" s="386"/>
    </row>
    <row r="30" spans="1:10" s="337" customFormat="1" ht="19.5" customHeight="1">
      <c r="A30" s="387"/>
      <c r="B30" s="333">
        <v>85195</v>
      </c>
      <c r="C30" s="423" t="s">
        <v>225</v>
      </c>
      <c r="D30" s="424">
        <f t="shared" si="1"/>
        <v>410000</v>
      </c>
      <c r="E30" s="424">
        <v>210000</v>
      </c>
      <c r="F30" s="424">
        <v>75000</v>
      </c>
      <c r="G30" s="424">
        <v>75000</v>
      </c>
      <c r="H30" s="424">
        <v>50000</v>
      </c>
      <c r="I30" s="386"/>
      <c r="J30" s="386"/>
    </row>
    <row r="31" spans="1:10" s="337" customFormat="1" ht="19.5" customHeight="1">
      <c r="A31" s="333"/>
      <c r="B31" s="402"/>
      <c r="C31" s="405"/>
      <c r="D31" s="404">
        <f t="shared" si="1"/>
        <v>-113800</v>
      </c>
      <c r="E31" s="404">
        <v>-113800</v>
      </c>
      <c r="F31" s="404"/>
      <c r="G31" s="404"/>
      <c r="H31" s="404"/>
      <c r="I31" s="386"/>
      <c r="J31" s="386"/>
    </row>
    <row r="32" spans="1:10" s="337" customFormat="1" ht="19.5" customHeight="1">
      <c r="A32" s="421">
        <v>853</v>
      </c>
      <c r="B32" s="421"/>
      <c r="C32" s="425" t="s">
        <v>229</v>
      </c>
      <c r="D32" s="426">
        <f t="shared" si="1"/>
        <v>15582467</v>
      </c>
      <c r="E32" s="426">
        <f>4279978+E34</f>
        <v>4707467</v>
      </c>
      <c r="F32" s="426">
        <f>3625000+F34</f>
        <v>3625000</v>
      </c>
      <c r="G32" s="426">
        <v>3654000</v>
      </c>
      <c r="H32" s="426">
        <v>3596000</v>
      </c>
      <c r="I32" s="386"/>
      <c r="J32" s="386"/>
    </row>
    <row r="33" spans="1:10" s="337" customFormat="1" ht="19.5" customHeight="1">
      <c r="A33" s="387"/>
      <c r="B33" s="399">
        <v>85315</v>
      </c>
      <c r="C33" s="400" t="s">
        <v>234</v>
      </c>
      <c r="D33" s="401">
        <f t="shared" si="1"/>
        <v>14554978</v>
      </c>
      <c r="E33" s="401">
        <v>4279978</v>
      </c>
      <c r="F33" s="401">
        <v>3425000</v>
      </c>
      <c r="G33" s="401">
        <v>3425000</v>
      </c>
      <c r="H33" s="401">
        <v>3425000</v>
      </c>
      <c r="I33" s="386"/>
      <c r="J33" s="386"/>
    </row>
    <row r="34" spans="1:10" s="337" customFormat="1" ht="19.5" customHeight="1">
      <c r="A34" s="333"/>
      <c r="B34" s="402"/>
      <c r="C34" s="405"/>
      <c r="D34" s="404">
        <f t="shared" si="1"/>
        <v>427489</v>
      </c>
      <c r="E34" s="404">
        <v>427489</v>
      </c>
      <c r="F34" s="404"/>
      <c r="G34" s="404"/>
      <c r="H34" s="404"/>
      <c r="I34" s="386"/>
      <c r="J34" s="386"/>
    </row>
    <row r="35" spans="1:10" s="337" customFormat="1" ht="19.5" customHeight="1">
      <c r="A35" s="421">
        <v>854</v>
      </c>
      <c r="B35" s="421"/>
      <c r="C35" s="425" t="s">
        <v>238</v>
      </c>
      <c r="D35" s="426">
        <f t="shared" si="1"/>
        <v>143000</v>
      </c>
      <c r="E35" s="426">
        <f>46095+E37</f>
        <v>42480</v>
      </c>
      <c r="F35" s="426">
        <v>46905</v>
      </c>
      <c r="G35" s="426">
        <f>50000+G37</f>
        <v>53615</v>
      </c>
      <c r="H35" s="426"/>
      <c r="I35" s="386"/>
      <c r="J35" s="386"/>
    </row>
    <row r="36" spans="1:10" s="337" customFormat="1" ht="27" customHeight="1">
      <c r="A36" s="387"/>
      <c r="B36" s="399">
        <v>85412</v>
      </c>
      <c r="C36" s="634" t="s">
        <v>438</v>
      </c>
      <c r="D36" s="401">
        <f t="shared" si="1"/>
        <v>143000</v>
      </c>
      <c r="E36" s="401">
        <v>46095</v>
      </c>
      <c r="F36" s="401">
        <v>46905</v>
      </c>
      <c r="G36" s="401">
        <v>50000</v>
      </c>
      <c r="H36" s="401"/>
      <c r="I36" s="386"/>
      <c r="J36" s="386"/>
    </row>
    <row r="37" spans="1:10" s="337" customFormat="1" ht="17.25" customHeight="1">
      <c r="A37" s="333"/>
      <c r="B37" s="402"/>
      <c r="C37" s="405"/>
      <c r="D37" s="404">
        <f t="shared" si="1"/>
        <v>0</v>
      </c>
      <c r="E37" s="404">
        <v>-3615</v>
      </c>
      <c r="F37" s="404"/>
      <c r="G37" s="404">
        <v>3615</v>
      </c>
      <c r="H37" s="404"/>
      <c r="I37" s="386"/>
      <c r="J37" s="386"/>
    </row>
    <row r="38" spans="1:10" s="337" customFormat="1" ht="19.5" customHeight="1">
      <c r="A38" s="421">
        <v>926</v>
      </c>
      <c r="B38" s="421"/>
      <c r="C38" s="425" t="s">
        <v>344</v>
      </c>
      <c r="D38" s="426">
        <f t="shared" si="1"/>
        <v>2339832</v>
      </c>
      <c r="E38" s="426">
        <f>401600+E40+E42</f>
        <v>350200</v>
      </c>
      <c r="F38" s="426">
        <f>642400+F40+F42</f>
        <v>693800</v>
      </c>
      <c r="G38" s="426">
        <f>477500+G42</f>
        <v>477000</v>
      </c>
      <c r="H38" s="426">
        <f>818332+H42</f>
        <v>818832</v>
      </c>
      <c r="I38" s="386"/>
      <c r="J38" s="386"/>
    </row>
    <row r="39" spans="1:10" s="337" customFormat="1" ht="19.5" customHeight="1">
      <c r="A39" s="387"/>
      <c r="B39" s="399">
        <v>92601</v>
      </c>
      <c r="C39" s="400" t="s">
        <v>348</v>
      </c>
      <c r="D39" s="401">
        <f t="shared" si="1"/>
        <v>245000</v>
      </c>
      <c r="E39" s="401">
        <v>80000</v>
      </c>
      <c r="F39" s="401">
        <v>50000</v>
      </c>
      <c r="G39" s="401">
        <v>45000</v>
      </c>
      <c r="H39" s="401">
        <v>70000</v>
      </c>
      <c r="I39" s="386"/>
      <c r="J39" s="386"/>
    </row>
    <row r="40" spans="1:10" s="337" customFormat="1" ht="17.25" customHeight="1">
      <c r="A40" s="333"/>
      <c r="B40" s="402"/>
      <c r="C40" s="405"/>
      <c r="D40" s="404">
        <f t="shared" si="1"/>
        <v>0</v>
      </c>
      <c r="E40" s="404">
        <v>-40000</v>
      </c>
      <c r="F40" s="404">
        <v>40000</v>
      </c>
      <c r="G40" s="404"/>
      <c r="H40" s="404"/>
      <c r="I40" s="386"/>
      <c r="J40" s="386"/>
    </row>
    <row r="41" spans="1:10" s="337" customFormat="1" ht="19.5" customHeight="1">
      <c r="A41" s="387"/>
      <c r="B41" s="399">
        <v>92605</v>
      </c>
      <c r="C41" s="400" t="s">
        <v>345</v>
      </c>
      <c r="D41" s="401">
        <f t="shared" si="1"/>
        <v>984832</v>
      </c>
      <c r="E41" s="401">
        <v>51500</v>
      </c>
      <c r="F41" s="401">
        <v>307500</v>
      </c>
      <c r="G41" s="401">
        <v>183500</v>
      </c>
      <c r="H41" s="401">
        <v>442332</v>
      </c>
      <c r="I41" s="386"/>
      <c r="J41" s="386"/>
    </row>
    <row r="42" spans="1:10" s="337" customFormat="1" ht="16.5" customHeight="1">
      <c r="A42" s="333"/>
      <c r="B42" s="402"/>
      <c r="C42" s="405"/>
      <c r="D42" s="404">
        <f t="shared" si="1"/>
        <v>0</v>
      </c>
      <c r="E42" s="404">
        <v>-11400</v>
      </c>
      <c r="F42" s="404">
        <v>11400</v>
      </c>
      <c r="G42" s="404">
        <v>-500</v>
      </c>
      <c r="H42" s="404">
        <v>500</v>
      </c>
      <c r="I42" s="386"/>
      <c r="J42" s="386"/>
    </row>
    <row r="43" spans="1:10" s="337" customFormat="1" ht="19.5" customHeight="1">
      <c r="A43" s="333"/>
      <c r="B43" s="387"/>
      <c r="C43" s="388" t="s">
        <v>441</v>
      </c>
      <c r="D43" s="389">
        <f t="shared" si="1"/>
        <v>44131874</v>
      </c>
      <c r="E43" s="389">
        <f>7943400+E52+E47</f>
        <v>7988519</v>
      </c>
      <c r="F43" s="389">
        <f>13703800+F50+F47</f>
        <v>14188800</v>
      </c>
      <c r="G43" s="389">
        <f>14142000+G50+G52+G47</f>
        <v>13971755</v>
      </c>
      <c r="H43" s="389">
        <f>8392800+H50+H47</f>
        <v>7982800</v>
      </c>
      <c r="I43" s="390"/>
      <c r="J43" s="386"/>
    </row>
    <row r="44" spans="1:10" s="337" customFormat="1" ht="19.5" customHeight="1" thickBot="1">
      <c r="A44" s="391"/>
      <c r="B44" s="391"/>
      <c r="C44" s="392" t="s">
        <v>261</v>
      </c>
      <c r="D44" s="625">
        <f t="shared" si="1"/>
        <v>43996874</v>
      </c>
      <c r="E44" s="393">
        <f>7943400+E52+E47</f>
        <v>7988519</v>
      </c>
      <c r="F44" s="393">
        <f>13703800+F50+F47</f>
        <v>14188800</v>
      </c>
      <c r="G44" s="393">
        <f>14007000+G50+G52+G47</f>
        <v>13836755</v>
      </c>
      <c r="H44" s="393">
        <f>8392800+H50+H47</f>
        <v>7982800</v>
      </c>
      <c r="I44" s="386"/>
      <c r="J44" s="386"/>
    </row>
    <row r="45" spans="1:10" s="337" customFormat="1" ht="19.5" customHeight="1" thickTop="1">
      <c r="A45" s="394">
        <v>750</v>
      </c>
      <c r="B45" s="395"/>
      <c r="C45" s="396" t="s">
        <v>294</v>
      </c>
      <c r="D45" s="626">
        <f>SUM(E45:H45)</f>
        <v>9874</v>
      </c>
      <c r="E45" s="398">
        <f>20000+E47</f>
        <v>9874</v>
      </c>
      <c r="F45" s="398">
        <f>15000+F47</f>
        <v>0</v>
      </c>
      <c r="G45" s="398">
        <f>15000+G47</f>
        <v>0</v>
      </c>
      <c r="H45" s="398">
        <f>10000+H47</f>
        <v>0</v>
      </c>
      <c r="I45" s="386"/>
      <c r="J45" s="386"/>
    </row>
    <row r="46" spans="1:10" s="337" customFormat="1" ht="19.5" customHeight="1">
      <c r="A46" s="387"/>
      <c r="B46" s="399">
        <v>75095</v>
      </c>
      <c r="C46" s="400" t="s">
        <v>225</v>
      </c>
      <c r="D46" s="628">
        <f>SUM(E46:H46)</f>
        <v>60000</v>
      </c>
      <c r="E46" s="401">
        <v>20000</v>
      </c>
      <c r="F46" s="401">
        <v>15000</v>
      </c>
      <c r="G46" s="401">
        <v>15000</v>
      </c>
      <c r="H46" s="401">
        <v>10000</v>
      </c>
      <c r="I46" s="386"/>
      <c r="J46" s="386"/>
    </row>
    <row r="47" spans="1:10" s="337" customFormat="1" ht="18" customHeight="1">
      <c r="A47" s="333"/>
      <c r="B47" s="402"/>
      <c r="C47" s="427"/>
      <c r="D47" s="639">
        <f>SUM(E47:H47)</f>
        <v>-50126</v>
      </c>
      <c r="E47" s="530">
        <v>-10126</v>
      </c>
      <c r="F47" s="530">
        <v>-15000</v>
      </c>
      <c r="G47" s="530">
        <v>-15000</v>
      </c>
      <c r="H47" s="530">
        <v>-10000</v>
      </c>
      <c r="I47" s="386"/>
      <c r="J47" s="386"/>
    </row>
    <row r="48" spans="1:10" s="337" customFormat="1" ht="19.5" customHeight="1">
      <c r="A48" s="421">
        <v>801</v>
      </c>
      <c r="B48" s="395"/>
      <c r="C48" s="396" t="s">
        <v>226</v>
      </c>
      <c r="D48" s="734">
        <f t="shared" si="1"/>
        <v>6662000</v>
      </c>
      <c r="E48" s="398">
        <f>1143000+E52</f>
        <v>1198245</v>
      </c>
      <c r="F48" s="398">
        <f>1900000+F50</f>
        <v>2400000</v>
      </c>
      <c r="G48" s="398">
        <f>2269000+G50+G52</f>
        <v>2113755</v>
      </c>
      <c r="H48" s="398">
        <f>1350000+H50</f>
        <v>950000</v>
      </c>
      <c r="I48" s="386"/>
      <c r="J48" s="386"/>
    </row>
    <row r="49" spans="1:10" s="337" customFormat="1" ht="19.5" customHeight="1">
      <c r="A49" s="387"/>
      <c r="B49" s="399">
        <v>80101</v>
      </c>
      <c r="C49" s="400" t="s">
        <v>227</v>
      </c>
      <c r="D49" s="628">
        <f t="shared" si="1"/>
        <v>3162000</v>
      </c>
      <c r="E49" s="401">
        <v>800000</v>
      </c>
      <c r="F49" s="401">
        <v>900000</v>
      </c>
      <c r="G49" s="401">
        <v>1062000</v>
      </c>
      <c r="H49" s="401">
        <v>400000</v>
      </c>
      <c r="I49" s="386"/>
      <c r="J49" s="386"/>
    </row>
    <row r="50" spans="1:10" s="337" customFormat="1" ht="15.75" customHeight="1">
      <c r="A50" s="333"/>
      <c r="B50" s="402"/>
      <c r="C50" s="427"/>
      <c r="D50" s="639">
        <f t="shared" si="1"/>
        <v>0</v>
      </c>
      <c r="E50" s="530"/>
      <c r="F50" s="530">
        <v>500000</v>
      </c>
      <c r="G50" s="530">
        <v>-100000</v>
      </c>
      <c r="H50" s="530">
        <v>-400000</v>
      </c>
      <c r="I50" s="386"/>
      <c r="J50" s="386"/>
    </row>
    <row r="51" spans="1:10" s="337" customFormat="1" ht="19.5" customHeight="1">
      <c r="A51" s="387"/>
      <c r="B51" s="399">
        <v>80130</v>
      </c>
      <c r="C51" s="400" t="s">
        <v>298</v>
      </c>
      <c r="D51" s="627">
        <f t="shared" si="1"/>
        <v>1200000</v>
      </c>
      <c r="E51" s="401">
        <v>143000</v>
      </c>
      <c r="F51" s="401">
        <v>200000</v>
      </c>
      <c r="G51" s="401">
        <v>357000</v>
      </c>
      <c r="H51" s="401">
        <v>500000</v>
      </c>
      <c r="I51" s="386"/>
      <c r="J51" s="386"/>
    </row>
    <row r="52" spans="1:10" s="337" customFormat="1" ht="17.25" customHeight="1">
      <c r="A52" s="333"/>
      <c r="B52" s="402"/>
      <c r="C52" s="427"/>
      <c r="D52" s="639">
        <f t="shared" si="1"/>
        <v>0</v>
      </c>
      <c r="E52" s="530">
        <v>55245</v>
      </c>
      <c r="F52" s="530"/>
      <c r="G52" s="530">
        <v>-55245</v>
      </c>
      <c r="H52" s="530"/>
      <c r="I52" s="386"/>
      <c r="J52" s="386"/>
    </row>
    <row r="53" spans="1:10" s="337" customFormat="1" ht="18" customHeight="1">
      <c r="A53" s="333"/>
      <c r="B53" s="387"/>
      <c r="C53" s="388" t="s">
        <v>442</v>
      </c>
      <c r="D53" s="389">
        <f aca="true" t="shared" si="2" ref="D53:D75">SUM(E53:H53)</f>
        <v>25380817</v>
      </c>
      <c r="E53" s="389">
        <f>4224000+E57+E59+E68+E66</f>
        <v>4347750</v>
      </c>
      <c r="F53" s="389">
        <f>5462750+F70+F66</f>
        <v>5848709</v>
      </c>
      <c r="G53" s="389">
        <f>9571656+G57+G59+G68+G61+G64+G66</f>
        <v>9279906</v>
      </c>
      <c r="H53" s="389">
        <v>5904452</v>
      </c>
      <c r="I53" s="390"/>
      <c r="J53" s="386"/>
    </row>
    <row r="54" spans="1:10" s="337" customFormat="1" ht="19.5" customHeight="1" thickBot="1">
      <c r="A54" s="391"/>
      <c r="B54" s="391"/>
      <c r="C54" s="392" t="s">
        <v>261</v>
      </c>
      <c r="D54" s="393">
        <f t="shared" si="2"/>
        <v>25380817</v>
      </c>
      <c r="E54" s="393">
        <f>4224000+E57+E59+E68+E66</f>
        <v>4347750</v>
      </c>
      <c r="F54" s="393">
        <f>5462750+F70+F66</f>
        <v>5848709</v>
      </c>
      <c r="G54" s="393">
        <f>9571656+G57+G59+G68+G61+G64+G66</f>
        <v>9279906</v>
      </c>
      <c r="H54" s="393">
        <v>5904452</v>
      </c>
      <c r="I54" s="386"/>
      <c r="J54" s="386"/>
    </row>
    <row r="55" spans="1:10" s="337" customFormat="1" ht="19.5" customHeight="1" thickTop="1">
      <c r="A55" s="394">
        <v>801</v>
      </c>
      <c r="B55" s="395"/>
      <c r="C55" s="396" t="s">
        <v>226</v>
      </c>
      <c r="D55" s="397">
        <f t="shared" si="2"/>
        <v>18887571</v>
      </c>
      <c r="E55" s="398">
        <f>2983000+E57+E59</f>
        <v>3062250</v>
      </c>
      <c r="F55" s="398">
        <v>4040250</v>
      </c>
      <c r="G55" s="398">
        <f>7365910+G57+G59+G61</f>
        <v>7278660</v>
      </c>
      <c r="H55" s="398">
        <v>4506411</v>
      </c>
      <c r="I55" s="386"/>
      <c r="J55" s="386"/>
    </row>
    <row r="56" spans="1:10" s="337" customFormat="1" ht="19.5" customHeight="1">
      <c r="A56" s="387"/>
      <c r="B56" s="65">
        <v>80110</v>
      </c>
      <c r="C56" s="65" t="s">
        <v>297</v>
      </c>
      <c r="D56" s="401">
        <f t="shared" si="2"/>
        <v>2908970</v>
      </c>
      <c r="E56" s="401">
        <v>425000</v>
      </c>
      <c r="F56" s="401">
        <v>500000</v>
      </c>
      <c r="G56" s="401">
        <v>1300000</v>
      </c>
      <c r="H56" s="401">
        <v>683970</v>
      </c>
      <c r="I56" s="386"/>
      <c r="J56" s="386"/>
    </row>
    <row r="57" spans="1:10" s="337" customFormat="1" ht="18" customHeight="1">
      <c r="A57" s="333"/>
      <c r="B57" s="402"/>
      <c r="C57" s="403"/>
      <c r="D57" s="404">
        <f t="shared" si="2"/>
        <v>0</v>
      </c>
      <c r="E57" s="404">
        <v>43250</v>
      </c>
      <c r="F57" s="404"/>
      <c r="G57" s="404">
        <v>-43250</v>
      </c>
      <c r="H57" s="404"/>
      <c r="I57" s="386"/>
      <c r="J57" s="386"/>
    </row>
    <row r="58" spans="1:10" s="337" customFormat="1" ht="19.5" customHeight="1">
      <c r="A58" s="387"/>
      <c r="B58" s="65">
        <v>80123</v>
      </c>
      <c r="C58" s="65" t="s">
        <v>439</v>
      </c>
      <c r="D58" s="401">
        <f t="shared" si="2"/>
        <v>376670</v>
      </c>
      <c r="E58" s="401">
        <v>50000</v>
      </c>
      <c r="F58" s="401">
        <v>50000</v>
      </c>
      <c r="G58" s="401">
        <v>200000</v>
      </c>
      <c r="H58" s="401">
        <v>76670</v>
      </c>
      <c r="I58" s="386"/>
      <c r="J58" s="386"/>
    </row>
    <row r="59" spans="1:10" s="337" customFormat="1" ht="17.25" customHeight="1">
      <c r="A59" s="333"/>
      <c r="B59" s="402"/>
      <c r="C59" s="427"/>
      <c r="D59" s="409">
        <f t="shared" si="2"/>
        <v>0</v>
      </c>
      <c r="E59" s="409">
        <v>36000</v>
      </c>
      <c r="F59" s="409"/>
      <c r="G59" s="409">
        <v>-36000</v>
      </c>
      <c r="H59" s="409"/>
      <c r="I59" s="386"/>
      <c r="J59" s="386"/>
    </row>
    <row r="60" spans="1:10" s="337" customFormat="1" ht="19.5" customHeight="1">
      <c r="A60" s="387"/>
      <c r="B60" s="65">
        <v>80130</v>
      </c>
      <c r="C60" s="65" t="s">
        <v>298</v>
      </c>
      <c r="D60" s="401">
        <f>SUM(E60:H60)</f>
        <v>4023368</v>
      </c>
      <c r="E60" s="401">
        <v>825000</v>
      </c>
      <c r="F60" s="401">
        <v>900000</v>
      </c>
      <c r="G60" s="401">
        <v>1473368</v>
      </c>
      <c r="H60" s="401">
        <v>825000</v>
      </c>
      <c r="I60" s="386"/>
      <c r="J60" s="386"/>
    </row>
    <row r="61" spans="1:10" s="337" customFormat="1" ht="17.25" customHeight="1">
      <c r="A61" s="428"/>
      <c r="B61" s="428"/>
      <c r="C61" s="429"/>
      <c r="D61" s="430">
        <f>SUM(E61:H61)</f>
        <v>-8000</v>
      </c>
      <c r="E61" s="430"/>
      <c r="F61" s="430"/>
      <c r="G61" s="430">
        <v>-8000</v>
      </c>
      <c r="H61" s="430"/>
      <c r="I61" s="386"/>
      <c r="J61" s="386"/>
    </row>
    <row r="62" spans="1:10" s="337" customFormat="1" ht="18.75" customHeight="1">
      <c r="A62" s="354">
        <v>854</v>
      </c>
      <c r="B62" s="741"/>
      <c r="C62" s="42" t="s">
        <v>238</v>
      </c>
      <c r="D62" s="397">
        <f t="shared" si="2"/>
        <v>6478246</v>
      </c>
      <c r="E62" s="449">
        <f>1241000+E68+E66</f>
        <v>1285500</v>
      </c>
      <c r="F62" s="449">
        <f>1407500+F70+F66</f>
        <v>1793459</v>
      </c>
      <c r="G62" s="449">
        <f>2205746+G68+G64+G66</f>
        <v>2001246</v>
      </c>
      <c r="H62" s="449">
        <v>1398041</v>
      </c>
      <c r="I62" s="386"/>
      <c r="J62" s="386"/>
    </row>
    <row r="63" spans="1:10" s="337" customFormat="1" ht="18.75" customHeight="1">
      <c r="A63" s="387"/>
      <c r="B63" s="65">
        <v>85403</v>
      </c>
      <c r="C63" s="65" t="s">
        <v>338</v>
      </c>
      <c r="D63" s="401">
        <f>SUM(E63:H63)</f>
        <v>784047</v>
      </c>
      <c r="E63" s="401">
        <v>187500</v>
      </c>
      <c r="F63" s="401">
        <v>137500</v>
      </c>
      <c r="G63" s="401">
        <v>267500</v>
      </c>
      <c r="H63" s="401">
        <v>191547</v>
      </c>
      <c r="I63" s="386"/>
      <c r="J63" s="386"/>
    </row>
    <row r="64" spans="1:10" s="337" customFormat="1" ht="18.75" customHeight="1">
      <c r="A64" s="333"/>
      <c r="B64" s="402"/>
      <c r="C64" s="427"/>
      <c r="D64" s="409">
        <f>SUM(E64:H64)</f>
        <v>-50000</v>
      </c>
      <c r="E64" s="409"/>
      <c r="F64" s="409"/>
      <c r="G64" s="409">
        <v>-50000</v>
      </c>
      <c r="H64" s="409"/>
      <c r="I64" s="386"/>
      <c r="J64" s="386"/>
    </row>
    <row r="65" spans="1:10" s="337" customFormat="1" ht="18.75" customHeight="1">
      <c r="A65" s="387"/>
      <c r="B65" s="65">
        <v>85404</v>
      </c>
      <c r="C65" s="65" t="s">
        <v>539</v>
      </c>
      <c r="D65" s="401">
        <f>SUM(E65:H65)</f>
        <v>3399360</v>
      </c>
      <c r="E65" s="401">
        <v>800000</v>
      </c>
      <c r="F65" s="401">
        <v>800000</v>
      </c>
      <c r="G65" s="401">
        <v>1099360</v>
      </c>
      <c r="H65" s="401">
        <v>700000</v>
      </c>
      <c r="I65" s="386"/>
      <c r="J65" s="386"/>
    </row>
    <row r="66" spans="1:10" s="337" customFormat="1" ht="18.75" customHeight="1">
      <c r="A66" s="333"/>
      <c r="B66" s="402"/>
      <c r="C66" s="427"/>
      <c r="D66" s="409">
        <f>SUM(E66:H66)</f>
        <v>0</v>
      </c>
      <c r="E66" s="409">
        <v>29500</v>
      </c>
      <c r="F66" s="409">
        <v>110000</v>
      </c>
      <c r="G66" s="409">
        <v>-139500</v>
      </c>
      <c r="H66" s="409"/>
      <c r="I66" s="386"/>
      <c r="J66" s="386"/>
    </row>
    <row r="67" spans="1:10" s="337" customFormat="1" ht="18.75" customHeight="1">
      <c r="A67" s="333"/>
      <c r="B67" s="65">
        <v>85410</v>
      </c>
      <c r="C67" s="65" t="s">
        <v>312</v>
      </c>
      <c r="D67" s="401">
        <f t="shared" si="2"/>
        <v>696790</v>
      </c>
      <c r="E67" s="401">
        <v>125000</v>
      </c>
      <c r="F67" s="401">
        <v>140000</v>
      </c>
      <c r="G67" s="401">
        <v>300000</v>
      </c>
      <c r="H67" s="401">
        <v>131790</v>
      </c>
      <c r="I67" s="386"/>
      <c r="J67" s="386"/>
    </row>
    <row r="68" spans="1:10" s="337" customFormat="1" ht="18.75" customHeight="1">
      <c r="A68" s="333"/>
      <c r="B68" s="428"/>
      <c r="C68" s="429"/>
      <c r="D68" s="430">
        <f t="shared" si="2"/>
        <v>0</v>
      </c>
      <c r="E68" s="430">
        <v>15000</v>
      </c>
      <c r="F68" s="430"/>
      <c r="G68" s="430">
        <v>-15000</v>
      </c>
      <c r="H68" s="430"/>
      <c r="I68" s="386"/>
      <c r="J68" s="386"/>
    </row>
    <row r="69" spans="1:10" s="337" customFormat="1" ht="18.75" customHeight="1">
      <c r="A69" s="333"/>
      <c r="B69" s="64">
        <v>85415</v>
      </c>
      <c r="C69" s="64" t="s">
        <v>253</v>
      </c>
      <c r="D69" s="424">
        <f t="shared" si="2"/>
        <v>147990</v>
      </c>
      <c r="E69" s="424">
        <v>30000</v>
      </c>
      <c r="F69" s="424">
        <v>80000</v>
      </c>
      <c r="G69" s="424">
        <v>17990</v>
      </c>
      <c r="H69" s="424">
        <v>20000</v>
      </c>
      <c r="I69" s="386"/>
      <c r="J69" s="386"/>
    </row>
    <row r="70" spans="1:10" s="337" customFormat="1" ht="18.75" customHeight="1">
      <c r="A70" s="333"/>
      <c r="B70" s="402"/>
      <c r="C70" s="403"/>
      <c r="D70" s="404">
        <f t="shared" si="2"/>
        <v>275959</v>
      </c>
      <c r="E70" s="404"/>
      <c r="F70" s="404">
        <v>275959</v>
      </c>
      <c r="G70" s="404"/>
      <c r="H70" s="404"/>
      <c r="I70" s="386"/>
      <c r="J70" s="386"/>
    </row>
    <row r="71" spans="1:10" s="337" customFormat="1" ht="18.75" customHeight="1">
      <c r="A71" s="437"/>
      <c r="B71" s="438"/>
      <c r="C71" s="163" t="s">
        <v>197</v>
      </c>
      <c r="D71" s="440">
        <f t="shared" si="2"/>
        <v>45783437</v>
      </c>
      <c r="E71" s="440">
        <v>12844500</v>
      </c>
      <c r="F71" s="440">
        <f>12235937+F75</f>
        <v>12235937</v>
      </c>
      <c r="G71" s="440">
        <f>10562500+G75</f>
        <v>10590500</v>
      </c>
      <c r="H71" s="440">
        <v>10112500</v>
      </c>
      <c r="I71" s="386"/>
      <c r="J71" s="386"/>
    </row>
    <row r="72" spans="1:10" s="337" customFormat="1" ht="18.75" customHeight="1" thickBot="1">
      <c r="A72" s="433"/>
      <c r="B72" s="434"/>
      <c r="C72" s="392" t="s">
        <v>261</v>
      </c>
      <c r="D72" s="435">
        <f t="shared" si="2"/>
        <v>43535000</v>
      </c>
      <c r="E72" s="435">
        <v>11719500</v>
      </c>
      <c r="F72" s="435">
        <f>11112500+F75</f>
        <v>11112500</v>
      </c>
      <c r="G72" s="435">
        <f>10562500+G75</f>
        <v>10590500</v>
      </c>
      <c r="H72" s="435">
        <v>10112500</v>
      </c>
      <c r="I72" s="386"/>
      <c r="J72" s="386"/>
    </row>
    <row r="73" spans="1:10" s="337" customFormat="1" ht="18.75" customHeight="1" thickTop="1">
      <c r="A73" s="342">
        <v>801</v>
      </c>
      <c r="B73" s="497"/>
      <c r="C73" s="42" t="s">
        <v>226</v>
      </c>
      <c r="D73" s="397">
        <f t="shared" si="2"/>
        <v>478000</v>
      </c>
      <c r="E73" s="398"/>
      <c r="F73" s="398"/>
      <c r="G73" s="398">
        <f>450000+G75</f>
        <v>478000</v>
      </c>
      <c r="H73" s="398"/>
      <c r="I73" s="386"/>
      <c r="J73" s="386"/>
    </row>
    <row r="74" spans="1:10" s="337" customFormat="1" ht="18.75" customHeight="1">
      <c r="A74" s="406"/>
      <c r="B74" s="406">
        <v>80110</v>
      </c>
      <c r="C74" s="436" t="s">
        <v>297</v>
      </c>
      <c r="D74" s="431">
        <f t="shared" si="2"/>
        <v>450000</v>
      </c>
      <c r="E74" s="431"/>
      <c r="F74" s="431"/>
      <c r="G74" s="431">
        <v>450000</v>
      </c>
      <c r="H74" s="431"/>
      <c r="I74" s="386"/>
      <c r="J74" s="386"/>
    </row>
    <row r="75" spans="1:10" s="337" customFormat="1" ht="18.75" customHeight="1">
      <c r="A75" s="333"/>
      <c r="B75" s="402"/>
      <c r="C75" s="422"/>
      <c r="D75" s="409">
        <f t="shared" si="2"/>
        <v>28000</v>
      </c>
      <c r="E75" s="409"/>
      <c r="F75" s="409"/>
      <c r="G75" s="409">
        <v>28000</v>
      </c>
      <c r="H75" s="409"/>
      <c r="I75" s="386"/>
      <c r="J75" s="386"/>
    </row>
    <row r="76" spans="1:10" s="337" customFormat="1" ht="18.75" customHeight="1">
      <c r="A76" s="437"/>
      <c r="B76" s="438"/>
      <c r="C76" s="163" t="s">
        <v>370</v>
      </c>
      <c r="D76" s="440">
        <f>SUM(E76:H76)</f>
        <v>875126</v>
      </c>
      <c r="E76" s="440">
        <f>225000+E80</f>
        <v>235126</v>
      </c>
      <c r="F76" s="440">
        <f>200000+F80</f>
        <v>215000</v>
      </c>
      <c r="G76" s="440">
        <f>150000+G80</f>
        <v>165000</v>
      </c>
      <c r="H76" s="440">
        <f>250000+H80</f>
        <v>260000</v>
      </c>
      <c r="I76" s="386"/>
      <c r="J76" s="386"/>
    </row>
    <row r="77" spans="1:10" s="337" customFormat="1" ht="18.75" customHeight="1" thickBot="1">
      <c r="A77" s="433"/>
      <c r="B77" s="434"/>
      <c r="C77" s="392" t="s">
        <v>261</v>
      </c>
      <c r="D77" s="435">
        <f>SUM(E77:H77)</f>
        <v>875126</v>
      </c>
      <c r="E77" s="435">
        <f>225000+E80</f>
        <v>235126</v>
      </c>
      <c r="F77" s="435">
        <f>200000+F80</f>
        <v>215000</v>
      </c>
      <c r="G77" s="435">
        <f>150000+G80</f>
        <v>165000</v>
      </c>
      <c r="H77" s="435">
        <f>250000+H80</f>
        <v>260000</v>
      </c>
      <c r="I77" s="386"/>
      <c r="J77" s="386"/>
    </row>
    <row r="78" spans="1:10" s="337" customFormat="1" ht="18.75" customHeight="1" thickTop="1">
      <c r="A78" s="342">
        <v>750</v>
      </c>
      <c r="B78" s="497"/>
      <c r="C78" s="42" t="s">
        <v>294</v>
      </c>
      <c r="D78" s="397">
        <f>SUM(E78:H78)</f>
        <v>875126</v>
      </c>
      <c r="E78" s="398">
        <f>225000+E80</f>
        <v>235126</v>
      </c>
      <c r="F78" s="398">
        <f>200000+F80</f>
        <v>215000</v>
      </c>
      <c r="G78" s="398">
        <f>150000+G80</f>
        <v>165000</v>
      </c>
      <c r="H78" s="398">
        <f>250000+H80</f>
        <v>260000</v>
      </c>
      <c r="I78" s="386"/>
      <c r="J78" s="386"/>
    </row>
    <row r="79" spans="1:10" s="337" customFormat="1" ht="18.75" customHeight="1">
      <c r="A79" s="406"/>
      <c r="B79" s="406">
        <v>75095</v>
      </c>
      <c r="C79" s="436" t="s">
        <v>225</v>
      </c>
      <c r="D79" s="431">
        <f>SUM(E79:H79)</f>
        <v>825000</v>
      </c>
      <c r="E79" s="431">
        <v>225000</v>
      </c>
      <c r="F79" s="431">
        <v>200000</v>
      </c>
      <c r="G79" s="431">
        <v>150000</v>
      </c>
      <c r="H79" s="431">
        <v>250000</v>
      </c>
      <c r="I79" s="386"/>
      <c r="J79" s="386"/>
    </row>
    <row r="80" spans="1:10" s="337" customFormat="1" ht="18.75" customHeight="1">
      <c r="A80" s="333"/>
      <c r="B80" s="402"/>
      <c r="C80" s="422"/>
      <c r="D80" s="409">
        <f>SUM(E80:H80)</f>
        <v>50126</v>
      </c>
      <c r="E80" s="409">
        <v>10126</v>
      </c>
      <c r="F80" s="409">
        <v>15000</v>
      </c>
      <c r="G80" s="409">
        <v>15000</v>
      </c>
      <c r="H80" s="409">
        <v>10000</v>
      </c>
      <c r="I80" s="386"/>
      <c r="J80" s="386"/>
    </row>
    <row r="81" spans="1:10" s="337" customFormat="1" ht="18.75" customHeight="1">
      <c r="A81" s="437"/>
      <c r="B81" s="438"/>
      <c r="C81" s="439" t="s">
        <v>444</v>
      </c>
      <c r="D81" s="440">
        <f aca="true" t="shared" si="3" ref="D81:D92">SUM(E81:H81)</f>
        <v>1919700</v>
      </c>
      <c r="E81" s="440">
        <v>503361</v>
      </c>
      <c r="F81" s="440">
        <f>469949+F84</f>
        <v>471449</v>
      </c>
      <c r="G81" s="440">
        <f>459703+G84</f>
        <v>461203</v>
      </c>
      <c r="H81" s="440">
        <v>483687</v>
      </c>
      <c r="I81" s="386"/>
      <c r="J81" s="386"/>
    </row>
    <row r="82" spans="1:10" s="337" customFormat="1" ht="18" customHeight="1" thickBot="1">
      <c r="A82" s="433"/>
      <c r="B82" s="434"/>
      <c r="C82" s="357" t="s">
        <v>261</v>
      </c>
      <c r="D82" s="435">
        <f t="shared" si="3"/>
        <v>1882900</v>
      </c>
      <c r="E82" s="435">
        <v>494821</v>
      </c>
      <c r="F82" s="435">
        <f>460529+F84</f>
        <v>462029</v>
      </c>
      <c r="G82" s="435">
        <f>450283+G84</f>
        <v>451783</v>
      </c>
      <c r="H82" s="435">
        <v>474267</v>
      </c>
      <c r="I82" s="386"/>
      <c r="J82" s="386"/>
    </row>
    <row r="83" spans="1:10" s="337" customFormat="1" ht="18" customHeight="1" thickTop="1">
      <c r="A83" s="443">
        <v>851</v>
      </c>
      <c r="B83" s="444"/>
      <c r="C83" s="42" t="s">
        <v>228</v>
      </c>
      <c r="D83" s="445">
        <f t="shared" si="3"/>
        <v>3000</v>
      </c>
      <c r="E83" s="446"/>
      <c r="F83" s="446">
        <f>F84</f>
        <v>1500</v>
      </c>
      <c r="G83" s="446">
        <f>G84</f>
        <v>1500</v>
      </c>
      <c r="H83" s="446"/>
      <c r="I83" s="386"/>
      <c r="J83" s="386"/>
    </row>
    <row r="84" spans="1:10" s="337" customFormat="1" ht="18" customHeight="1">
      <c r="A84" s="333"/>
      <c r="B84" s="735">
        <v>85154</v>
      </c>
      <c r="C84" s="736" t="s">
        <v>246</v>
      </c>
      <c r="D84" s="672">
        <f t="shared" si="3"/>
        <v>3000</v>
      </c>
      <c r="E84" s="672"/>
      <c r="F84" s="672">
        <v>1500</v>
      </c>
      <c r="G84" s="672">
        <v>1500</v>
      </c>
      <c r="H84" s="672"/>
      <c r="I84" s="386"/>
      <c r="J84" s="386"/>
    </row>
    <row r="85" spans="1:10" s="337" customFormat="1" ht="18" customHeight="1">
      <c r="A85" s="437"/>
      <c r="B85" s="438"/>
      <c r="C85" s="439" t="s">
        <v>445</v>
      </c>
      <c r="D85" s="440">
        <f t="shared" si="3"/>
        <v>1698200</v>
      </c>
      <c r="E85" s="440">
        <v>447700</v>
      </c>
      <c r="F85" s="440">
        <f>445300+F88</f>
        <v>451200</v>
      </c>
      <c r="G85" s="440">
        <f>388800+G88</f>
        <v>389800</v>
      </c>
      <c r="H85" s="440">
        <f>407400+H88</f>
        <v>409500</v>
      </c>
      <c r="I85" s="386"/>
      <c r="J85" s="386"/>
    </row>
    <row r="86" spans="1:10" s="337" customFormat="1" ht="18" customHeight="1" thickBot="1">
      <c r="A86" s="433"/>
      <c r="B86" s="434"/>
      <c r="C86" s="357" t="s">
        <v>261</v>
      </c>
      <c r="D86" s="435">
        <f t="shared" si="3"/>
        <v>1667700</v>
      </c>
      <c r="E86" s="435">
        <v>440000</v>
      </c>
      <c r="F86" s="435">
        <f>437600+F88</f>
        <v>443500</v>
      </c>
      <c r="G86" s="435">
        <f>381100+G88</f>
        <v>382100</v>
      </c>
      <c r="H86" s="435">
        <f>400000+H88</f>
        <v>402100</v>
      </c>
      <c r="I86" s="386"/>
      <c r="J86" s="386"/>
    </row>
    <row r="87" spans="1:10" s="337" customFormat="1" ht="18" customHeight="1" thickTop="1">
      <c r="A87" s="443">
        <v>851</v>
      </c>
      <c r="B87" s="444"/>
      <c r="C87" s="42" t="s">
        <v>228</v>
      </c>
      <c r="D87" s="445">
        <f t="shared" si="3"/>
        <v>9000</v>
      </c>
      <c r="E87" s="446"/>
      <c r="F87" s="446">
        <f>F88</f>
        <v>5900</v>
      </c>
      <c r="G87" s="446">
        <f>G88</f>
        <v>1000</v>
      </c>
      <c r="H87" s="446">
        <f>H88</f>
        <v>2100</v>
      </c>
      <c r="I87" s="386"/>
      <c r="J87" s="386"/>
    </row>
    <row r="88" spans="1:10" s="337" customFormat="1" ht="18" customHeight="1">
      <c r="A88" s="333"/>
      <c r="B88" s="735">
        <v>85154</v>
      </c>
      <c r="C88" s="736" t="s">
        <v>246</v>
      </c>
      <c r="D88" s="672">
        <f t="shared" si="3"/>
        <v>9000</v>
      </c>
      <c r="E88" s="672"/>
      <c r="F88" s="672">
        <v>5900</v>
      </c>
      <c r="G88" s="672">
        <v>1000</v>
      </c>
      <c r="H88" s="672">
        <v>2100</v>
      </c>
      <c r="I88" s="386"/>
      <c r="J88" s="386"/>
    </row>
    <row r="89" spans="1:10" s="337" customFormat="1" ht="18" customHeight="1">
      <c r="A89" s="437"/>
      <c r="B89" s="438"/>
      <c r="C89" s="439" t="s">
        <v>446</v>
      </c>
      <c r="D89" s="440">
        <f t="shared" si="3"/>
        <v>1155400</v>
      </c>
      <c r="E89" s="440">
        <v>312700</v>
      </c>
      <c r="F89" s="440">
        <v>280450</v>
      </c>
      <c r="G89" s="440">
        <f>278550+G92</f>
        <v>284550</v>
      </c>
      <c r="H89" s="440">
        <v>277700</v>
      </c>
      <c r="I89" s="386"/>
      <c r="J89" s="386"/>
    </row>
    <row r="90" spans="1:10" s="337" customFormat="1" ht="18" customHeight="1" thickBot="1">
      <c r="A90" s="433"/>
      <c r="B90" s="434"/>
      <c r="C90" s="357" t="s">
        <v>261</v>
      </c>
      <c r="D90" s="435">
        <f t="shared" si="3"/>
        <v>1138200</v>
      </c>
      <c r="E90" s="435">
        <v>308400</v>
      </c>
      <c r="F90" s="435">
        <v>276150</v>
      </c>
      <c r="G90" s="435">
        <f>274250+G92</f>
        <v>280250</v>
      </c>
      <c r="H90" s="435">
        <v>273400</v>
      </c>
      <c r="I90" s="386"/>
      <c r="J90" s="386"/>
    </row>
    <row r="91" spans="1:10" s="337" customFormat="1" ht="18" customHeight="1" thickTop="1">
      <c r="A91" s="443">
        <v>851</v>
      </c>
      <c r="B91" s="444"/>
      <c r="C91" s="42" t="s">
        <v>228</v>
      </c>
      <c r="D91" s="445">
        <f t="shared" si="3"/>
        <v>6000</v>
      </c>
      <c r="E91" s="446"/>
      <c r="F91" s="446"/>
      <c r="G91" s="446">
        <f>G92</f>
        <v>6000</v>
      </c>
      <c r="H91" s="446"/>
      <c r="I91" s="386"/>
      <c r="J91" s="386"/>
    </row>
    <row r="92" spans="1:10" s="337" customFormat="1" ht="18" customHeight="1">
      <c r="A92" s="671"/>
      <c r="B92" s="735">
        <v>85154</v>
      </c>
      <c r="C92" s="736" t="s">
        <v>246</v>
      </c>
      <c r="D92" s="672">
        <f t="shared" si="3"/>
        <v>6000</v>
      </c>
      <c r="E92" s="672"/>
      <c r="F92" s="672"/>
      <c r="G92" s="672">
        <v>6000</v>
      </c>
      <c r="H92" s="672"/>
      <c r="I92" s="386"/>
      <c r="J92" s="386"/>
    </row>
    <row r="93" spans="1:10" s="337" customFormat="1" ht="18" customHeight="1">
      <c r="A93" s="437"/>
      <c r="B93" s="438"/>
      <c r="C93" s="439" t="s">
        <v>447</v>
      </c>
      <c r="D93" s="440">
        <f aca="true" t="shared" si="4" ref="D93:D104">SUM(E93:H93)</f>
        <v>2095300</v>
      </c>
      <c r="E93" s="440">
        <v>621300</v>
      </c>
      <c r="F93" s="440">
        <f>528350+F96</f>
        <v>531750</v>
      </c>
      <c r="G93" s="440">
        <v>523650</v>
      </c>
      <c r="H93" s="440">
        <v>418600</v>
      </c>
      <c r="I93" s="386"/>
      <c r="J93" s="386"/>
    </row>
    <row r="94" spans="1:10" s="337" customFormat="1" ht="19.5" customHeight="1" thickBot="1">
      <c r="A94" s="433"/>
      <c r="B94" s="434"/>
      <c r="C94" s="357" t="s">
        <v>261</v>
      </c>
      <c r="D94" s="435">
        <f t="shared" si="4"/>
        <v>2070100</v>
      </c>
      <c r="E94" s="435">
        <v>615000</v>
      </c>
      <c r="F94" s="435">
        <f>522050+F96</f>
        <v>525450</v>
      </c>
      <c r="G94" s="435">
        <v>517350</v>
      </c>
      <c r="H94" s="435">
        <v>412300</v>
      </c>
      <c r="I94" s="386"/>
      <c r="J94" s="386"/>
    </row>
    <row r="95" spans="1:10" s="337" customFormat="1" ht="19.5" customHeight="1" thickTop="1">
      <c r="A95" s="443">
        <v>851</v>
      </c>
      <c r="B95" s="444"/>
      <c r="C95" s="42" t="s">
        <v>228</v>
      </c>
      <c r="D95" s="445">
        <f t="shared" si="4"/>
        <v>3400</v>
      </c>
      <c r="E95" s="446"/>
      <c r="F95" s="446">
        <f>F96</f>
        <v>3400</v>
      </c>
      <c r="G95" s="446"/>
      <c r="H95" s="446"/>
      <c r="I95" s="386"/>
      <c r="J95" s="386"/>
    </row>
    <row r="96" spans="1:10" s="337" customFormat="1" ht="19.5" customHeight="1">
      <c r="A96" s="333"/>
      <c r="B96" s="735">
        <v>85154</v>
      </c>
      <c r="C96" s="736" t="s">
        <v>246</v>
      </c>
      <c r="D96" s="672">
        <f t="shared" si="4"/>
        <v>3400</v>
      </c>
      <c r="E96" s="672"/>
      <c r="F96" s="672">
        <v>3400</v>
      </c>
      <c r="G96" s="672"/>
      <c r="H96" s="672"/>
      <c r="I96" s="386"/>
      <c r="J96" s="386"/>
    </row>
    <row r="97" spans="1:10" s="337" customFormat="1" ht="18" customHeight="1">
      <c r="A97" s="437"/>
      <c r="B97" s="438"/>
      <c r="C97" s="439" t="s">
        <v>448</v>
      </c>
      <c r="D97" s="440">
        <f t="shared" si="4"/>
        <v>487900</v>
      </c>
      <c r="E97" s="440">
        <v>140000</v>
      </c>
      <c r="F97" s="440">
        <f>130600+F100</f>
        <v>132600</v>
      </c>
      <c r="G97" s="440">
        <f>110000+G100</f>
        <v>111000</v>
      </c>
      <c r="H97" s="440">
        <v>104300</v>
      </c>
      <c r="I97" s="386"/>
      <c r="J97" s="386"/>
    </row>
    <row r="98" spans="1:10" s="337" customFormat="1" ht="19.5" customHeight="1" thickBot="1">
      <c r="A98" s="433"/>
      <c r="B98" s="434"/>
      <c r="C98" s="357" t="s">
        <v>261</v>
      </c>
      <c r="D98" s="435">
        <f t="shared" si="4"/>
        <v>487900</v>
      </c>
      <c r="E98" s="435">
        <v>140000</v>
      </c>
      <c r="F98" s="435">
        <f>130600+F100</f>
        <v>132600</v>
      </c>
      <c r="G98" s="435">
        <f>110000+G100</f>
        <v>111000</v>
      </c>
      <c r="H98" s="435">
        <v>104300</v>
      </c>
      <c r="I98" s="386"/>
      <c r="J98" s="386"/>
    </row>
    <row r="99" spans="1:10" s="337" customFormat="1" ht="19.5" customHeight="1" thickTop="1">
      <c r="A99" s="443">
        <v>851</v>
      </c>
      <c r="B99" s="444"/>
      <c r="C99" s="42" t="s">
        <v>228</v>
      </c>
      <c r="D99" s="445">
        <f t="shared" si="4"/>
        <v>3000</v>
      </c>
      <c r="E99" s="446"/>
      <c r="F99" s="446">
        <f>F100</f>
        <v>2000</v>
      </c>
      <c r="G99" s="446">
        <f>G100</f>
        <v>1000</v>
      </c>
      <c r="H99" s="446"/>
      <c r="I99" s="386"/>
      <c r="J99" s="386"/>
    </row>
    <row r="100" spans="1:10" s="337" customFormat="1" ht="19.5" customHeight="1">
      <c r="A100" s="333"/>
      <c r="B100" s="735">
        <v>85154</v>
      </c>
      <c r="C100" s="736" t="s">
        <v>246</v>
      </c>
      <c r="D100" s="672">
        <f t="shared" si="4"/>
        <v>3000</v>
      </c>
      <c r="E100" s="672"/>
      <c r="F100" s="672">
        <v>2000</v>
      </c>
      <c r="G100" s="672">
        <v>1000</v>
      </c>
      <c r="H100" s="672"/>
      <c r="I100" s="386"/>
      <c r="J100" s="386"/>
    </row>
    <row r="101" spans="1:10" s="337" customFormat="1" ht="20.25" customHeight="1">
      <c r="A101" s="437"/>
      <c r="B101" s="438"/>
      <c r="C101" s="439" t="s">
        <v>449</v>
      </c>
      <c r="D101" s="440">
        <f t="shared" si="4"/>
        <v>2360000</v>
      </c>
      <c r="E101" s="440">
        <v>635100</v>
      </c>
      <c r="F101" s="440">
        <f>570300+F104</f>
        <v>577300</v>
      </c>
      <c r="G101" s="440">
        <f>561400+G104</f>
        <v>569400</v>
      </c>
      <c r="H101" s="440">
        <v>578200</v>
      </c>
      <c r="I101" s="386"/>
      <c r="J101" s="386"/>
    </row>
    <row r="102" spans="1:10" s="337" customFormat="1" ht="19.5" customHeight="1">
      <c r="A102" s="674"/>
      <c r="B102" s="674"/>
      <c r="C102" s="675" t="s">
        <v>261</v>
      </c>
      <c r="D102" s="676">
        <f t="shared" si="4"/>
        <v>2360000</v>
      </c>
      <c r="E102" s="676">
        <v>635100</v>
      </c>
      <c r="F102" s="676">
        <f>570300+F104</f>
        <v>577300</v>
      </c>
      <c r="G102" s="676">
        <f>561400+G104</f>
        <v>569400</v>
      </c>
      <c r="H102" s="676">
        <v>578200</v>
      </c>
      <c r="I102" s="386"/>
      <c r="J102" s="386"/>
    </row>
    <row r="103" spans="1:10" s="337" customFormat="1" ht="19.5" customHeight="1">
      <c r="A103" s="444">
        <v>851</v>
      </c>
      <c r="B103" s="444"/>
      <c r="C103" s="42" t="s">
        <v>228</v>
      </c>
      <c r="D103" s="445">
        <f t="shared" si="4"/>
        <v>15000</v>
      </c>
      <c r="E103" s="445"/>
      <c r="F103" s="445">
        <f>F104</f>
        <v>7000</v>
      </c>
      <c r="G103" s="445">
        <f>G104</f>
        <v>8000</v>
      </c>
      <c r="H103" s="445"/>
      <c r="I103" s="386"/>
      <c r="J103" s="386"/>
    </row>
    <row r="104" spans="1:10" s="337" customFormat="1" ht="19.5" customHeight="1">
      <c r="A104" s="333"/>
      <c r="B104" s="735">
        <v>85154</v>
      </c>
      <c r="C104" s="736" t="s">
        <v>246</v>
      </c>
      <c r="D104" s="672">
        <f t="shared" si="4"/>
        <v>15000</v>
      </c>
      <c r="E104" s="672"/>
      <c r="F104" s="672">
        <v>7000</v>
      </c>
      <c r="G104" s="672">
        <v>8000</v>
      </c>
      <c r="H104" s="672"/>
      <c r="I104" s="386"/>
      <c r="J104" s="386"/>
    </row>
    <row r="105" spans="1:10" s="337" customFormat="1" ht="18" customHeight="1">
      <c r="A105" s="437"/>
      <c r="B105" s="438"/>
      <c r="C105" s="439" t="s">
        <v>450</v>
      </c>
      <c r="D105" s="440">
        <f aca="true" t="shared" si="5" ref="D105:D112">SUM(E105:H105)</f>
        <v>3494500</v>
      </c>
      <c r="E105" s="440">
        <v>1063000</v>
      </c>
      <c r="F105" s="440">
        <v>788000</v>
      </c>
      <c r="G105" s="440">
        <f>766000+G108</f>
        <v>769000</v>
      </c>
      <c r="H105" s="440">
        <v>874500</v>
      </c>
      <c r="I105" s="386"/>
      <c r="J105" s="386"/>
    </row>
    <row r="106" spans="1:10" s="337" customFormat="1" ht="19.5" customHeight="1" thickBot="1">
      <c r="A106" s="433"/>
      <c r="B106" s="434"/>
      <c r="C106" s="357" t="s">
        <v>261</v>
      </c>
      <c r="D106" s="435">
        <f t="shared" si="5"/>
        <v>3494500</v>
      </c>
      <c r="E106" s="435">
        <v>1063000</v>
      </c>
      <c r="F106" s="435">
        <v>788000</v>
      </c>
      <c r="G106" s="435">
        <f>766000+G108</f>
        <v>769000</v>
      </c>
      <c r="H106" s="435">
        <v>874500</v>
      </c>
      <c r="I106" s="386"/>
      <c r="J106" s="386"/>
    </row>
    <row r="107" spans="1:10" s="337" customFormat="1" ht="19.5" customHeight="1" thickTop="1">
      <c r="A107" s="443">
        <v>851</v>
      </c>
      <c r="B107" s="444"/>
      <c r="C107" s="42" t="s">
        <v>228</v>
      </c>
      <c r="D107" s="445">
        <f t="shared" si="5"/>
        <v>3000</v>
      </c>
      <c r="E107" s="446"/>
      <c r="F107" s="446"/>
      <c r="G107" s="446">
        <f>G108</f>
        <v>3000</v>
      </c>
      <c r="H107" s="446"/>
      <c r="I107" s="386"/>
      <c r="J107" s="386"/>
    </row>
    <row r="108" spans="1:10" s="337" customFormat="1" ht="19.5" customHeight="1">
      <c r="A108" s="333"/>
      <c r="B108" s="735">
        <v>85154</v>
      </c>
      <c r="C108" s="736" t="s">
        <v>246</v>
      </c>
      <c r="D108" s="672">
        <f t="shared" si="5"/>
        <v>3000</v>
      </c>
      <c r="E108" s="672"/>
      <c r="F108" s="672"/>
      <c r="G108" s="672">
        <v>3000</v>
      </c>
      <c r="H108" s="672"/>
      <c r="I108" s="386"/>
      <c r="J108" s="386"/>
    </row>
    <row r="109" spans="1:10" s="337" customFormat="1" ht="31.5" customHeight="1">
      <c r="A109" s="437"/>
      <c r="B109" s="438"/>
      <c r="C109" s="673" t="s">
        <v>451</v>
      </c>
      <c r="D109" s="440">
        <f>SUM(E109:H109)</f>
        <v>2524000</v>
      </c>
      <c r="E109" s="440">
        <v>721000</v>
      </c>
      <c r="F109" s="440">
        <f>597000+F112</f>
        <v>609000</v>
      </c>
      <c r="G109" s="440">
        <v>597000</v>
      </c>
      <c r="H109" s="440">
        <v>597000</v>
      </c>
      <c r="I109" s="386"/>
      <c r="J109" s="386"/>
    </row>
    <row r="110" spans="1:10" s="337" customFormat="1" ht="19.5" customHeight="1" thickBot="1">
      <c r="A110" s="433"/>
      <c r="B110" s="434"/>
      <c r="C110" s="357" t="s">
        <v>261</v>
      </c>
      <c r="D110" s="435">
        <f>SUM(E110:H110)</f>
        <v>2524000</v>
      </c>
      <c r="E110" s="435">
        <v>721000</v>
      </c>
      <c r="F110" s="435">
        <f>597000+F112</f>
        <v>609000</v>
      </c>
      <c r="G110" s="435">
        <v>597000</v>
      </c>
      <c r="H110" s="435">
        <v>597000</v>
      </c>
      <c r="I110" s="386"/>
      <c r="J110" s="386"/>
    </row>
    <row r="111" spans="1:10" s="337" customFormat="1" ht="19.5" customHeight="1" thickTop="1">
      <c r="A111" s="443">
        <v>851</v>
      </c>
      <c r="B111" s="444"/>
      <c r="C111" s="42" t="s">
        <v>228</v>
      </c>
      <c r="D111" s="445">
        <f t="shared" si="5"/>
        <v>12000</v>
      </c>
      <c r="E111" s="446"/>
      <c r="F111" s="446">
        <f>F112</f>
        <v>12000</v>
      </c>
      <c r="G111" s="446"/>
      <c r="H111" s="446"/>
      <c r="I111" s="386"/>
      <c r="J111" s="386"/>
    </row>
    <row r="112" spans="1:10" s="337" customFormat="1" ht="19.5" customHeight="1">
      <c r="A112" s="333"/>
      <c r="B112" s="735">
        <v>85154</v>
      </c>
      <c r="C112" s="736" t="s">
        <v>246</v>
      </c>
      <c r="D112" s="672">
        <f t="shared" si="5"/>
        <v>12000</v>
      </c>
      <c r="E112" s="672"/>
      <c r="F112" s="672">
        <v>12000</v>
      </c>
      <c r="G112" s="672"/>
      <c r="H112" s="672"/>
      <c r="I112" s="386"/>
      <c r="J112" s="386"/>
    </row>
    <row r="113" spans="1:10" s="337" customFormat="1" ht="20.25" customHeight="1">
      <c r="A113" s="437"/>
      <c r="B113" s="438"/>
      <c r="C113" s="439" t="s">
        <v>72</v>
      </c>
      <c r="D113" s="440">
        <f>SUM(E113:H113)</f>
        <v>2581000</v>
      </c>
      <c r="E113" s="440">
        <v>765700</v>
      </c>
      <c r="F113" s="440">
        <f>617600+F116</f>
        <v>619600</v>
      </c>
      <c r="G113" s="440">
        <v>584600</v>
      </c>
      <c r="H113" s="440">
        <v>611100</v>
      </c>
      <c r="I113" s="386"/>
      <c r="J113" s="386"/>
    </row>
    <row r="114" spans="1:10" s="337" customFormat="1" ht="19.5" customHeight="1" thickBot="1">
      <c r="A114" s="433"/>
      <c r="B114" s="434"/>
      <c r="C114" s="357" t="s">
        <v>261</v>
      </c>
      <c r="D114" s="435">
        <f>SUM(E114:H114)</f>
        <v>2192000</v>
      </c>
      <c r="E114" s="435">
        <v>654000</v>
      </c>
      <c r="F114" s="435">
        <f>526000+F116</f>
        <v>528000</v>
      </c>
      <c r="G114" s="435">
        <v>495000</v>
      </c>
      <c r="H114" s="435">
        <v>515000</v>
      </c>
      <c r="I114" s="386"/>
      <c r="J114" s="386"/>
    </row>
    <row r="115" spans="1:10" s="337" customFormat="1" ht="19.5" customHeight="1" thickTop="1">
      <c r="A115" s="443">
        <v>851</v>
      </c>
      <c r="B115" s="444"/>
      <c r="C115" s="42" t="s">
        <v>228</v>
      </c>
      <c r="D115" s="445">
        <f>SUM(E115:H115)</f>
        <v>2000</v>
      </c>
      <c r="E115" s="446"/>
      <c r="F115" s="446">
        <f>F116</f>
        <v>2000</v>
      </c>
      <c r="G115" s="446"/>
      <c r="H115" s="446"/>
      <c r="I115" s="386"/>
      <c r="J115" s="386"/>
    </row>
    <row r="116" spans="1:10" s="337" customFormat="1" ht="19.5" customHeight="1">
      <c r="A116" s="333"/>
      <c r="B116" s="735">
        <v>85154</v>
      </c>
      <c r="C116" s="736" t="s">
        <v>246</v>
      </c>
      <c r="D116" s="672">
        <f>SUM(E116:H116)</f>
        <v>2000</v>
      </c>
      <c r="E116" s="672"/>
      <c r="F116" s="672">
        <v>2000</v>
      </c>
      <c r="G116" s="672"/>
      <c r="H116" s="672"/>
      <c r="I116" s="386"/>
      <c r="J116" s="386"/>
    </row>
    <row r="117" spans="1:10" s="337" customFormat="1" ht="18" customHeight="1">
      <c r="A117" s="437"/>
      <c r="B117" s="438"/>
      <c r="C117" s="439" t="s">
        <v>452</v>
      </c>
      <c r="D117" s="440">
        <f aca="true" t="shared" si="6" ref="D117:D170">SUM(E117:H117)</f>
        <v>59184551</v>
      </c>
      <c r="E117" s="440">
        <f>15318534+E131+E124</f>
        <v>15778534</v>
      </c>
      <c r="F117" s="440">
        <f>14669869+F127+F134+F121+F131+F124</f>
        <v>14681749</v>
      </c>
      <c r="G117" s="440">
        <f>14481212+G127+G121+G131+G124</f>
        <v>14378539</v>
      </c>
      <c r="H117" s="440">
        <f>14482085+H121+H131</f>
        <v>14345729</v>
      </c>
      <c r="I117" s="386"/>
      <c r="J117" s="386"/>
    </row>
    <row r="118" spans="1:10" s="337" customFormat="1" ht="19.5" customHeight="1" thickBot="1">
      <c r="A118" s="433"/>
      <c r="B118" s="434"/>
      <c r="C118" s="357" t="s">
        <v>261</v>
      </c>
      <c r="D118" s="435">
        <f t="shared" si="6"/>
        <v>29004700</v>
      </c>
      <c r="E118" s="435">
        <f>7654534+E124</f>
        <v>8054534</v>
      </c>
      <c r="F118" s="435">
        <f>7163569+F127+F121+F124</f>
        <v>7106598</v>
      </c>
      <c r="G118" s="435">
        <f>6980912+G127+G121+G124</f>
        <v>6830739</v>
      </c>
      <c r="H118" s="435">
        <f>6981685+H121</f>
        <v>7012829</v>
      </c>
      <c r="I118" s="386"/>
      <c r="J118" s="386"/>
    </row>
    <row r="119" spans="1:10" s="337" customFormat="1" ht="19.5" customHeight="1" thickTop="1">
      <c r="A119" s="443">
        <v>851</v>
      </c>
      <c r="B119" s="444"/>
      <c r="C119" s="42" t="s">
        <v>228</v>
      </c>
      <c r="D119" s="445">
        <f aca="true" t="shared" si="7" ref="D119:D124">SUM(E119:H119)</f>
        <v>889000</v>
      </c>
      <c r="E119" s="446">
        <f>219200</f>
        <v>219200</v>
      </c>
      <c r="F119" s="446">
        <f>128000+F121</f>
        <v>261029</v>
      </c>
      <c r="G119" s="446">
        <f>128000+G121</f>
        <v>187827</v>
      </c>
      <c r="H119" s="446">
        <f>189800+H121</f>
        <v>220944</v>
      </c>
      <c r="I119" s="386"/>
      <c r="J119" s="386"/>
    </row>
    <row r="120" spans="1:10" s="337" customFormat="1" ht="19.5" customHeight="1">
      <c r="A120" s="333"/>
      <c r="B120" s="406">
        <v>85154</v>
      </c>
      <c r="C120" s="436" t="s">
        <v>246</v>
      </c>
      <c r="D120" s="447">
        <f t="shared" si="7"/>
        <v>665000</v>
      </c>
      <c r="E120" s="431">
        <v>219200</v>
      </c>
      <c r="F120" s="431">
        <v>128000</v>
      </c>
      <c r="G120" s="431">
        <v>128000</v>
      </c>
      <c r="H120" s="431">
        <v>189800</v>
      </c>
      <c r="I120" s="386"/>
      <c r="J120" s="386"/>
    </row>
    <row r="121" spans="1:10" s="337" customFormat="1" ht="17.25" customHeight="1">
      <c r="A121" s="428"/>
      <c r="B121" s="669"/>
      <c r="C121" s="670"/>
      <c r="D121" s="639">
        <f t="shared" si="7"/>
        <v>224000</v>
      </c>
      <c r="E121" s="639"/>
      <c r="F121" s="639">
        <v>133029</v>
      </c>
      <c r="G121" s="639">
        <v>59827</v>
      </c>
      <c r="H121" s="639">
        <v>31144</v>
      </c>
      <c r="I121" s="386"/>
      <c r="J121" s="386"/>
    </row>
    <row r="122" spans="1:10" s="337" customFormat="1" ht="19.5" customHeight="1">
      <c r="A122" s="421">
        <v>853</v>
      </c>
      <c r="B122" s="421"/>
      <c r="C122" s="776" t="s">
        <v>229</v>
      </c>
      <c r="D122" s="446">
        <f t="shared" si="7"/>
        <v>27961700</v>
      </c>
      <c r="E122" s="446">
        <f>7355334+E124</f>
        <v>7755334</v>
      </c>
      <c r="F122" s="446">
        <f>6985569+F124</f>
        <v>6785569</v>
      </c>
      <c r="G122" s="446">
        <f>6828912+G124</f>
        <v>6628912</v>
      </c>
      <c r="H122" s="446">
        <v>6791885</v>
      </c>
      <c r="I122" s="386"/>
      <c r="J122" s="386"/>
    </row>
    <row r="123" spans="1:10" s="337" customFormat="1" ht="19.5" customHeight="1">
      <c r="A123" s="333"/>
      <c r="B123" s="333">
        <v>85314</v>
      </c>
      <c r="C123" s="358" t="s">
        <v>44</v>
      </c>
      <c r="D123" s="447">
        <f t="shared" si="7"/>
        <v>6620000</v>
      </c>
      <c r="E123" s="431">
        <v>1655000</v>
      </c>
      <c r="F123" s="431">
        <v>1655000</v>
      </c>
      <c r="G123" s="431">
        <v>1655000</v>
      </c>
      <c r="H123" s="431">
        <v>1655000</v>
      </c>
      <c r="I123" s="386"/>
      <c r="J123" s="386"/>
    </row>
    <row r="124" spans="1:10" s="337" customFormat="1" ht="18" customHeight="1">
      <c r="A124" s="333"/>
      <c r="B124" s="402"/>
      <c r="C124" s="448"/>
      <c r="D124" s="409">
        <f t="shared" si="7"/>
        <v>0</v>
      </c>
      <c r="E124" s="409">
        <v>400000</v>
      </c>
      <c r="F124" s="409">
        <v>-200000</v>
      </c>
      <c r="G124" s="409">
        <v>-200000</v>
      </c>
      <c r="H124" s="409"/>
      <c r="I124" s="386"/>
      <c r="J124" s="386"/>
    </row>
    <row r="125" spans="1:10" s="337" customFormat="1" ht="19.5" customHeight="1">
      <c r="A125" s="443">
        <v>854</v>
      </c>
      <c r="B125" s="443"/>
      <c r="C125" s="668" t="s">
        <v>238</v>
      </c>
      <c r="D125" s="446">
        <f t="shared" si="6"/>
        <v>154000</v>
      </c>
      <c r="E125" s="446">
        <v>80000</v>
      </c>
      <c r="F125" s="446">
        <f>50000+F127</f>
        <v>60000</v>
      </c>
      <c r="G125" s="446">
        <f>24000+G127</f>
        <v>14000</v>
      </c>
      <c r="H125" s="446"/>
      <c r="I125" s="386"/>
      <c r="J125" s="386"/>
    </row>
    <row r="126" spans="1:10" s="337" customFormat="1" ht="19.5" customHeight="1">
      <c r="A126" s="333"/>
      <c r="B126" s="406">
        <v>85415</v>
      </c>
      <c r="C126" s="436" t="s">
        <v>253</v>
      </c>
      <c r="D126" s="447">
        <f t="shared" si="6"/>
        <v>154000</v>
      </c>
      <c r="E126" s="431">
        <v>80000</v>
      </c>
      <c r="F126" s="431">
        <v>50000</v>
      </c>
      <c r="G126" s="431">
        <v>24000</v>
      </c>
      <c r="H126" s="431"/>
      <c r="I126" s="386"/>
      <c r="J126" s="386"/>
    </row>
    <row r="127" spans="1:10" s="337" customFormat="1" ht="17.25" customHeight="1">
      <c r="A127" s="333"/>
      <c r="B127" s="402"/>
      <c r="C127" s="448"/>
      <c r="D127" s="409">
        <f t="shared" si="6"/>
        <v>0</v>
      </c>
      <c r="E127" s="409"/>
      <c r="F127" s="409">
        <v>10000</v>
      </c>
      <c r="G127" s="409">
        <v>-10000</v>
      </c>
      <c r="H127" s="409"/>
      <c r="I127" s="386"/>
      <c r="J127" s="386"/>
    </row>
    <row r="128" spans="1:10" s="337" customFormat="1" ht="19.5" customHeight="1" thickBot="1">
      <c r="A128" s="433"/>
      <c r="B128" s="434"/>
      <c r="C128" s="357" t="s">
        <v>221</v>
      </c>
      <c r="D128" s="435">
        <f>SUM(E128:H128)</f>
        <v>28330000</v>
      </c>
      <c r="E128" s="435">
        <f>7203750+E131</f>
        <v>7263750</v>
      </c>
      <c r="F128" s="435">
        <f>7046050+F131</f>
        <v>7106050</v>
      </c>
      <c r="G128" s="435">
        <f>7040050+G131</f>
        <v>7087550</v>
      </c>
      <c r="H128" s="435">
        <f>7040150+H131</f>
        <v>6872650</v>
      </c>
      <c r="I128" s="386"/>
      <c r="J128" s="386"/>
    </row>
    <row r="129" spans="1:10" s="337" customFormat="1" ht="19.5" customHeight="1" thickTop="1">
      <c r="A129" s="443">
        <v>853</v>
      </c>
      <c r="B129" s="444"/>
      <c r="C129" s="42" t="s">
        <v>229</v>
      </c>
      <c r="D129" s="445">
        <f>SUM(E129:H129)</f>
        <v>28330000</v>
      </c>
      <c r="E129" s="446">
        <f>7203750+E131</f>
        <v>7263750</v>
      </c>
      <c r="F129" s="446">
        <f>7046050+F131</f>
        <v>7106050</v>
      </c>
      <c r="G129" s="446">
        <f>7040050+G131</f>
        <v>7087550</v>
      </c>
      <c r="H129" s="446">
        <f>7040150+H131</f>
        <v>6872650</v>
      </c>
      <c r="I129" s="386"/>
      <c r="J129" s="386"/>
    </row>
    <row r="130" spans="1:10" s="337" customFormat="1" ht="19.5" customHeight="1">
      <c r="A130" s="333"/>
      <c r="B130" s="406">
        <v>85328</v>
      </c>
      <c r="C130" s="436" t="s">
        <v>237</v>
      </c>
      <c r="D130" s="447">
        <f>SUM(E130:H130)</f>
        <v>670000</v>
      </c>
      <c r="E130" s="431">
        <v>167500</v>
      </c>
      <c r="F130" s="431">
        <v>167500</v>
      </c>
      <c r="G130" s="431">
        <v>167500</v>
      </c>
      <c r="H130" s="431">
        <v>167500</v>
      </c>
      <c r="I130" s="386"/>
      <c r="J130" s="386"/>
    </row>
    <row r="131" spans="1:10" s="337" customFormat="1" ht="19.5" customHeight="1">
      <c r="A131" s="428"/>
      <c r="B131" s="669"/>
      <c r="C131" s="670"/>
      <c r="D131" s="639">
        <f>SUM(E131:H131)</f>
        <v>0</v>
      </c>
      <c r="E131" s="639">
        <v>60000</v>
      </c>
      <c r="F131" s="639">
        <v>60000</v>
      </c>
      <c r="G131" s="639">
        <v>47500</v>
      </c>
      <c r="H131" s="639">
        <v>-167500</v>
      </c>
      <c r="I131" s="386"/>
      <c r="J131" s="386"/>
    </row>
    <row r="132" spans="1:10" s="337" customFormat="1" ht="25.5" customHeight="1" thickBot="1">
      <c r="A132" s="433"/>
      <c r="B132" s="434"/>
      <c r="C132" s="359" t="s">
        <v>222</v>
      </c>
      <c r="D132" s="435">
        <f t="shared" si="6"/>
        <v>1849851</v>
      </c>
      <c r="E132" s="435">
        <v>460250</v>
      </c>
      <c r="F132" s="435">
        <f>460250+F134</f>
        <v>469101</v>
      </c>
      <c r="G132" s="435">
        <v>460250</v>
      </c>
      <c r="H132" s="435">
        <v>460250</v>
      </c>
      <c r="I132" s="386"/>
      <c r="J132" s="386"/>
    </row>
    <row r="133" spans="1:10" s="337" customFormat="1" ht="21.75" customHeight="1" thickTop="1">
      <c r="A133" s="342">
        <v>853</v>
      </c>
      <c r="B133" s="395"/>
      <c r="C133" s="42" t="s">
        <v>229</v>
      </c>
      <c r="D133" s="397">
        <f t="shared" si="6"/>
        <v>1841000</v>
      </c>
      <c r="E133" s="398">
        <v>460250</v>
      </c>
      <c r="F133" s="398">
        <v>460250</v>
      </c>
      <c r="G133" s="398">
        <v>460250</v>
      </c>
      <c r="H133" s="398">
        <v>460250</v>
      </c>
      <c r="I133" s="386"/>
      <c r="J133" s="386"/>
    </row>
    <row r="134" spans="1:10" s="337" customFormat="1" ht="20.25" customHeight="1">
      <c r="A134" s="333"/>
      <c r="B134" s="629">
        <v>85334</v>
      </c>
      <c r="C134" s="630" t="s">
        <v>350</v>
      </c>
      <c r="D134" s="631">
        <f t="shared" si="6"/>
        <v>8851</v>
      </c>
      <c r="E134" s="632"/>
      <c r="F134" s="632">
        <v>8851</v>
      </c>
      <c r="G134" s="633"/>
      <c r="H134" s="633"/>
      <c r="I134" s="386"/>
      <c r="J134" s="386"/>
    </row>
    <row r="135" spans="1:10" s="337" customFormat="1" ht="20.25" customHeight="1">
      <c r="A135" s="437"/>
      <c r="B135" s="438"/>
      <c r="C135" s="439" t="s">
        <v>73</v>
      </c>
      <c r="D135" s="440">
        <f t="shared" si="6"/>
        <v>5102000</v>
      </c>
      <c r="E135" s="440">
        <f>1140900+E139+E143+E146</f>
        <v>1165593</v>
      </c>
      <c r="F135" s="440">
        <f>1308000+F139+F143+F146</f>
        <v>1283307</v>
      </c>
      <c r="G135" s="440">
        <v>1244000</v>
      </c>
      <c r="H135" s="440">
        <v>1409100</v>
      </c>
      <c r="I135" s="386"/>
      <c r="J135" s="386"/>
    </row>
    <row r="136" spans="1:10" s="337" customFormat="1" ht="19.5" customHeight="1" thickBot="1">
      <c r="A136" s="433"/>
      <c r="B136" s="434"/>
      <c r="C136" s="357" t="s">
        <v>261</v>
      </c>
      <c r="D136" s="435">
        <f t="shared" si="6"/>
        <v>618000</v>
      </c>
      <c r="E136" s="435">
        <f>176000+E139</f>
        <v>179000</v>
      </c>
      <c r="F136" s="435">
        <f>165000+F139</f>
        <v>162000</v>
      </c>
      <c r="G136" s="435">
        <v>150000</v>
      </c>
      <c r="H136" s="435">
        <v>127000</v>
      </c>
      <c r="I136" s="386"/>
      <c r="J136" s="386"/>
    </row>
    <row r="137" spans="1:10" s="337" customFormat="1" ht="19.5" customHeight="1" thickTop="1">
      <c r="A137" s="421">
        <v>853</v>
      </c>
      <c r="B137" s="354"/>
      <c r="C137" s="677" t="s">
        <v>229</v>
      </c>
      <c r="D137" s="449">
        <f t="shared" si="6"/>
        <v>618000</v>
      </c>
      <c r="E137" s="426">
        <f>176000+E139</f>
        <v>179000</v>
      </c>
      <c r="F137" s="426">
        <f>165000+F139</f>
        <v>162000</v>
      </c>
      <c r="G137" s="426">
        <v>150000</v>
      </c>
      <c r="H137" s="426">
        <v>127000</v>
      </c>
      <c r="I137" s="386"/>
      <c r="J137" s="386"/>
    </row>
    <row r="138" spans="1:10" s="337" customFormat="1" ht="19.5" customHeight="1">
      <c r="A138" s="333"/>
      <c r="B138" s="333">
        <v>85333</v>
      </c>
      <c r="C138" s="358" t="s">
        <v>300</v>
      </c>
      <c r="D138" s="424">
        <f t="shared" si="6"/>
        <v>618000</v>
      </c>
      <c r="E138" s="424">
        <v>176000</v>
      </c>
      <c r="F138" s="424">
        <v>165000</v>
      </c>
      <c r="G138" s="424">
        <v>150000</v>
      </c>
      <c r="H138" s="424">
        <v>127000</v>
      </c>
      <c r="I138" s="386"/>
      <c r="J138" s="386"/>
    </row>
    <row r="139" spans="1:10" s="337" customFormat="1" ht="19.5" customHeight="1">
      <c r="A139" s="333"/>
      <c r="B139" s="402"/>
      <c r="C139" s="448"/>
      <c r="D139" s="409">
        <f t="shared" si="6"/>
        <v>0</v>
      </c>
      <c r="E139" s="409">
        <v>3000</v>
      </c>
      <c r="F139" s="409">
        <v>-3000</v>
      </c>
      <c r="G139" s="409"/>
      <c r="H139" s="409"/>
      <c r="I139" s="386"/>
      <c r="J139" s="386"/>
    </row>
    <row r="140" spans="1:10" s="337" customFormat="1" ht="27.75" customHeight="1" thickBot="1">
      <c r="A140" s="433"/>
      <c r="B140" s="434"/>
      <c r="C140" s="465" t="s">
        <v>222</v>
      </c>
      <c r="D140" s="435">
        <f t="shared" si="6"/>
        <v>4484000</v>
      </c>
      <c r="E140" s="435">
        <f>964900+E143+E146</f>
        <v>986593</v>
      </c>
      <c r="F140" s="435">
        <f>1143000+F143+F146</f>
        <v>1121307</v>
      </c>
      <c r="G140" s="435">
        <v>1094000</v>
      </c>
      <c r="H140" s="435">
        <v>1282100</v>
      </c>
      <c r="I140" s="386"/>
      <c r="J140" s="386"/>
    </row>
    <row r="141" spans="1:10" s="337" customFormat="1" ht="19.5" customHeight="1" thickTop="1">
      <c r="A141" s="443">
        <v>851</v>
      </c>
      <c r="B141" s="444"/>
      <c r="C141" s="42" t="s">
        <v>228</v>
      </c>
      <c r="D141" s="445">
        <f t="shared" si="6"/>
        <v>2732000</v>
      </c>
      <c r="E141" s="446">
        <f>421900+E143</f>
        <v>412593</v>
      </c>
      <c r="F141" s="446">
        <f>643000+F143</f>
        <v>652307</v>
      </c>
      <c r="G141" s="446">
        <v>684000</v>
      </c>
      <c r="H141" s="446">
        <v>983100</v>
      </c>
      <c r="I141" s="386"/>
      <c r="J141" s="386"/>
    </row>
    <row r="142" spans="1:10" s="337" customFormat="1" ht="27" customHeight="1">
      <c r="A142" s="333"/>
      <c r="B142" s="406">
        <v>85156</v>
      </c>
      <c r="C142" s="436" t="s">
        <v>170</v>
      </c>
      <c r="D142" s="447">
        <f t="shared" si="6"/>
        <v>2732000</v>
      </c>
      <c r="E142" s="431">
        <v>421900</v>
      </c>
      <c r="F142" s="431">
        <v>643000</v>
      </c>
      <c r="G142" s="431">
        <v>684000</v>
      </c>
      <c r="H142" s="431">
        <v>983100</v>
      </c>
      <c r="I142" s="386"/>
      <c r="J142" s="386"/>
    </row>
    <row r="143" spans="1:10" s="337" customFormat="1" ht="19.5" customHeight="1">
      <c r="A143" s="333"/>
      <c r="B143" s="402"/>
      <c r="C143" s="448"/>
      <c r="D143" s="409">
        <f t="shared" si="6"/>
        <v>0</v>
      </c>
      <c r="E143" s="409">
        <v>-9307</v>
      </c>
      <c r="F143" s="409">
        <v>9307</v>
      </c>
      <c r="G143" s="409"/>
      <c r="H143" s="409"/>
      <c r="I143" s="386"/>
      <c r="J143" s="386"/>
    </row>
    <row r="144" spans="1:10" s="337" customFormat="1" ht="19.5" customHeight="1">
      <c r="A144" s="443">
        <v>853</v>
      </c>
      <c r="B144" s="444"/>
      <c r="C144" s="42" t="s">
        <v>229</v>
      </c>
      <c r="D144" s="445">
        <f t="shared" si="6"/>
        <v>1752000</v>
      </c>
      <c r="E144" s="446">
        <f>543000+E146</f>
        <v>574000</v>
      </c>
      <c r="F144" s="446">
        <f>500000+F146</f>
        <v>469000</v>
      </c>
      <c r="G144" s="446">
        <v>410000</v>
      </c>
      <c r="H144" s="446">
        <v>299000</v>
      </c>
      <c r="I144" s="386"/>
      <c r="J144" s="386"/>
    </row>
    <row r="145" spans="1:10" s="337" customFormat="1" ht="19.5" customHeight="1">
      <c r="A145" s="333"/>
      <c r="B145" s="406">
        <v>85333</v>
      </c>
      <c r="C145" s="436" t="s">
        <v>300</v>
      </c>
      <c r="D145" s="447">
        <f t="shared" si="6"/>
        <v>1752000</v>
      </c>
      <c r="E145" s="431">
        <v>543000</v>
      </c>
      <c r="F145" s="431">
        <v>500000</v>
      </c>
      <c r="G145" s="431">
        <v>410000</v>
      </c>
      <c r="H145" s="431">
        <v>299000</v>
      </c>
      <c r="I145" s="386"/>
      <c r="J145" s="386"/>
    </row>
    <row r="146" spans="1:10" s="337" customFormat="1" ht="17.25" customHeight="1">
      <c r="A146" s="333"/>
      <c r="B146" s="402"/>
      <c r="C146" s="448"/>
      <c r="D146" s="409">
        <f t="shared" si="6"/>
        <v>0</v>
      </c>
      <c r="E146" s="409">
        <v>31000</v>
      </c>
      <c r="F146" s="409">
        <v>-31000</v>
      </c>
      <c r="G146" s="409"/>
      <c r="H146" s="409"/>
      <c r="I146" s="386"/>
      <c r="J146" s="386"/>
    </row>
    <row r="147" spans="1:10" s="337" customFormat="1" ht="18" customHeight="1">
      <c r="A147" s="437"/>
      <c r="B147" s="438"/>
      <c r="C147" s="439" t="s">
        <v>74</v>
      </c>
      <c r="D147" s="440">
        <f t="shared" si="6"/>
        <v>11439000</v>
      </c>
      <c r="E147" s="440">
        <f>2760000+E151</f>
        <v>2866000</v>
      </c>
      <c r="F147" s="440">
        <f>3339000+F151</f>
        <v>3233000</v>
      </c>
      <c r="G147" s="440">
        <v>2822000</v>
      </c>
      <c r="H147" s="440">
        <v>2518000</v>
      </c>
      <c r="I147" s="386"/>
      <c r="J147" s="386"/>
    </row>
    <row r="148" spans="1:10" s="337" customFormat="1" ht="27.75" customHeight="1" thickBot="1">
      <c r="A148" s="433"/>
      <c r="B148" s="434"/>
      <c r="C148" s="465" t="s">
        <v>222</v>
      </c>
      <c r="D148" s="435">
        <f t="shared" si="6"/>
        <v>11339000</v>
      </c>
      <c r="E148" s="435">
        <f>2760000+E151</f>
        <v>2866000</v>
      </c>
      <c r="F148" s="435">
        <f>3339000+F151</f>
        <v>3233000</v>
      </c>
      <c r="G148" s="435">
        <v>2722000</v>
      </c>
      <c r="H148" s="435">
        <v>2518000</v>
      </c>
      <c r="I148" s="386"/>
      <c r="J148" s="386"/>
    </row>
    <row r="149" spans="1:10" s="337" customFormat="1" ht="19.5" customHeight="1" thickTop="1">
      <c r="A149" s="421">
        <v>754</v>
      </c>
      <c r="B149" s="354"/>
      <c r="C149" s="677" t="s">
        <v>314</v>
      </c>
      <c r="D149" s="449">
        <f t="shared" si="6"/>
        <v>11299000</v>
      </c>
      <c r="E149" s="426">
        <f>2753000+E151</f>
        <v>2859000</v>
      </c>
      <c r="F149" s="426">
        <f>3330000+F151</f>
        <v>3224000</v>
      </c>
      <c r="G149" s="426">
        <v>2710000</v>
      </c>
      <c r="H149" s="426">
        <v>2506000</v>
      </c>
      <c r="I149" s="386"/>
      <c r="J149" s="386"/>
    </row>
    <row r="150" spans="1:10" s="337" customFormat="1" ht="19.5" customHeight="1">
      <c r="A150" s="333"/>
      <c r="B150" s="333">
        <v>75411</v>
      </c>
      <c r="C150" s="358" t="s">
        <v>325</v>
      </c>
      <c r="D150" s="424">
        <f t="shared" si="6"/>
        <v>11299000</v>
      </c>
      <c r="E150" s="424">
        <v>2753000</v>
      </c>
      <c r="F150" s="424">
        <v>3330000</v>
      </c>
      <c r="G150" s="424">
        <v>2710000</v>
      </c>
      <c r="H150" s="424">
        <v>2506000</v>
      </c>
      <c r="I150" s="386"/>
      <c r="J150" s="386"/>
    </row>
    <row r="151" spans="1:10" s="337" customFormat="1" ht="19.5" customHeight="1">
      <c r="A151" s="333"/>
      <c r="B151" s="402"/>
      <c r="C151" s="448"/>
      <c r="D151" s="409">
        <f t="shared" si="6"/>
        <v>0</v>
      </c>
      <c r="E151" s="409">
        <v>106000</v>
      </c>
      <c r="F151" s="409">
        <v>-106000</v>
      </c>
      <c r="G151" s="409"/>
      <c r="H151" s="409"/>
      <c r="I151" s="386"/>
      <c r="J151" s="386"/>
    </row>
    <row r="152" spans="1:10" s="337" customFormat="1" ht="18" customHeight="1">
      <c r="A152" s="437"/>
      <c r="B152" s="438"/>
      <c r="C152" s="439" t="s">
        <v>75</v>
      </c>
      <c r="D152" s="440">
        <f>SUM(E152:H152)</f>
        <v>295524541</v>
      </c>
      <c r="E152" s="440">
        <f>84760123+E156+E158+E160+E162+E166+E173+E175+E177+E179+E181+E183+E169+E164</f>
        <v>86746088</v>
      </c>
      <c r="F152" s="440">
        <f>66743982+F158+F162+F167</f>
        <v>67108185</v>
      </c>
      <c r="G152" s="440">
        <f>70722257+G158+G162+G167+G173+G175+G177+G179</f>
        <v>69790540</v>
      </c>
      <c r="H152" s="440">
        <f>72549423+H156+H160+H162+H166+H167+H175+H177+H179+H181+H183</f>
        <v>71879728</v>
      </c>
      <c r="I152" s="386"/>
      <c r="J152" s="386"/>
    </row>
    <row r="153" spans="1:10" s="337" customFormat="1" ht="18" customHeight="1" thickBot="1">
      <c r="A153" s="450"/>
      <c r="B153" s="434"/>
      <c r="C153" s="441" t="s">
        <v>261</v>
      </c>
      <c r="D153" s="435">
        <f t="shared" si="6"/>
        <v>295522441</v>
      </c>
      <c r="E153" s="435">
        <f>84759598+E156+E158+E160+E162+E166+E173+E175+E177+E179+E181+E183+E169+E164</f>
        <v>86745563</v>
      </c>
      <c r="F153" s="435">
        <f>66743457+F158+F162+F167</f>
        <v>67107660</v>
      </c>
      <c r="G153" s="435">
        <f>70721732+G158+G162+G167+G173+G175+G177+G179</f>
        <v>69790015</v>
      </c>
      <c r="H153" s="435">
        <f>72548898+H156+H160+H162+H166+H167+H175+H177+H179+H181+H183</f>
        <v>71879203</v>
      </c>
      <c r="I153" s="386"/>
      <c r="J153" s="386"/>
    </row>
    <row r="154" spans="1:10" s="337" customFormat="1" ht="18" customHeight="1" thickTop="1">
      <c r="A154" s="394">
        <v>801</v>
      </c>
      <c r="B154" s="395"/>
      <c r="C154" s="396" t="s">
        <v>226</v>
      </c>
      <c r="D154" s="397">
        <f t="shared" si="6"/>
        <v>220241104</v>
      </c>
      <c r="E154" s="398">
        <f>64277848+E156+E158+E160+E162+E166+E164</f>
        <v>65585848</v>
      </c>
      <c r="F154" s="398">
        <f>50023212+F158+F162</f>
        <v>49980212</v>
      </c>
      <c r="G154" s="398">
        <f>52455800+G158+G162</f>
        <v>51750800</v>
      </c>
      <c r="H154" s="398">
        <f>53504244+H156+H160+H162+H166</f>
        <v>52924244</v>
      </c>
      <c r="I154" s="386"/>
      <c r="J154" s="451"/>
    </row>
    <row r="155" spans="1:10" s="337" customFormat="1" ht="19.5" customHeight="1">
      <c r="A155" s="333"/>
      <c r="B155" s="456">
        <v>80104</v>
      </c>
      <c r="C155" s="514" t="s">
        <v>342</v>
      </c>
      <c r="D155" s="424">
        <f t="shared" si="6"/>
        <v>1155857</v>
      </c>
      <c r="E155" s="424">
        <v>290000</v>
      </c>
      <c r="F155" s="424">
        <v>300000</v>
      </c>
      <c r="G155" s="424">
        <v>275000</v>
      </c>
      <c r="H155" s="424">
        <v>290857</v>
      </c>
      <c r="I155" s="386"/>
      <c r="J155" s="386"/>
    </row>
    <row r="156" spans="1:10" s="337" customFormat="1" ht="19.5" customHeight="1">
      <c r="A156" s="333"/>
      <c r="B156" s="428"/>
      <c r="C156" s="442"/>
      <c r="D156" s="430">
        <f t="shared" si="6"/>
        <v>0</v>
      </c>
      <c r="E156" s="430">
        <v>40000</v>
      </c>
      <c r="F156" s="430"/>
      <c r="G156" s="430"/>
      <c r="H156" s="452">
        <v>-40000</v>
      </c>
      <c r="I156" s="386"/>
      <c r="J156" s="386"/>
    </row>
    <row r="157" spans="1:10" s="337" customFormat="1" ht="19.5" customHeight="1">
      <c r="A157" s="333"/>
      <c r="B157" s="453">
        <v>80110</v>
      </c>
      <c r="C157" s="453" t="s">
        <v>297</v>
      </c>
      <c r="D157" s="431">
        <f t="shared" si="6"/>
        <v>41592030</v>
      </c>
      <c r="E157" s="431">
        <v>11400000</v>
      </c>
      <c r="F157" s="431">
        <v>9657212</v>
      </c>
      <c r="G157" s="431">
        <v>11100000</v>
      </c>
      <c r="H157" s="431">
        <v>9434818</v>
      </c>
      <c r="I157" s="386"/>
      <c r="J157" s="386"/>
    </row>
    <row r="158" spans="1:10" s="337" customFormat="1" ht="19.5" customHeight="1">
      <c r="A158" s="333"/>
      <c r="B158" s="402"/>
      <c r="C158" s="405"/>
      <c r="D158" s="404">
        <f t="shared" si="6"/>
        <v>-28000</v>
      </c>
      <c r="E158" s="409">
        <v>700000</v>
      </c>
      <c r="F158" s="409">
        <v>-28000</v>
      </c>
      <c r="G158" s="409">
        <v>-700000</v>
      </c>
      <c r="H158" s="59"/>
      <c r="I158" s="386"/>
      <c r="J158" s="386"/>
    </row>
    <row r="159" spans="1:10" s="337" customFormat="1" ht="19.5" customHeight="1">
      <c r="A159" s="333"/>
      <c r="B159" s="64">
        <v>80111</v>
      </c>
      <c r="C159" s="65" t="s">
        <v>337</v>
      </c>
      <c r="D159" s="431">
        <f t="shared" si="6"/>
        <v>3051615</v>
      </c>
      <c r="E159" s="431">
        <v>900000</v>
      </c>
      <c r="F159" s="431">
        <v>700000</v>
      </c>
      <c r="G159" s="431">
        <v>688000</v>
      </c>
      <c r="H159" s="431">
        <v>763615</v>
      </c>
      <c r="I159" s="386"/>
      <c r="J159" s="386"/>
    </row>
    <row r="160" spans="1:10" s="337" customFormat="1" ht="19.5" customHeight="1">
      <c r="A160" s="333"/>
      <c r="B160" s="402"/>
      <c r="C160" s="405"/>
      <c r="D160" s="404">
        <f t="shared" si="6"/>
        <v>0</v>
      </c>
      <c r="E160" s="409">
        <v>20000</v>
      </c>
      <c r="F160" s="409"/>
      <c r="G160" s="409"/>
      <c r="H160" s="59">
        <v>-20000</v>
      </c>
      <c r="I160" s="386"/>
      <c r="J160" s="386"/>
    </row>
    <row r="161" spans="1:10" s="337" customFormat="1" ht="19.5" customHeight="1">
      <c r="A161" s="333"/>
      <c r="B161" s="65">
        <v>80113</v>
      </c>
      <c r="C161" s="65" t="s">
        <v>343</v>
      </c>
      <c r="D161" s="431">
        <f t="shared" si="6"/>
        <v>248800</v>
      </c>
      <c r="E161" s="431">
        <v>74000</v>
      </c>
      <c r="F161" s="431">
        <v>73000</v>
      </c>
      <c r="G161" s="431">
        <v>27800</v>
      </c>
      <c r="H161" s="431">
        <v>74000</v>
      </c>
      <c r="I161" s="386"/>
      <c r="J161" s="386"/>
    </row>
    <row r="162" spans="1:10" s="337" customFormat="1" ht="19.5" customHeight="1">
      <c r="A162" s="333"/>
      <c r="B162" s="402"/>
      <c r="C162" s="405"/>
      <c r="D162" s="404">
        <f t="shared" si="6"/>
        <v>0</v>
      </c>
      <c r="E162" s="409">
        <v>30000</v>
      </c>
      <c r="F162" s="409">
        <v>-15000</v>
      </c>
      <c r="G162" s="409">
        <v>-5000</v>
      </c>
      <c r="H162" s="59">
        <v>-10000</v>
      </c>
      <c r="I162" s="386"/>
      <c r="J162" s="386"/>
    </row>
    <row r="163" spans="1:10" s="337" customFormat="1" ht="21.75" customHeight="1">
      <c r="A163" s="333"/>
      <c r="B163" s="141">
        <v>80130</v>
      </c>
      <c r="C163" s="348" t="s">
        <v>298</v>
      </c>
      <c r="D163" s="431">
        <f>SUM(E163:H163)</f>
        <v>43859307</v>
      </c>
      <c r="E163" s="431">
        <v>12000000</v>
      </c>
      <c r="F163" s="431">
        <v>9000000</v>
      </c>
      <c r="G163" s="431">
        <v>11500000</v>
      </c>
      <c r="H163" s="431">
        <v>11359307</v>
      </c>
      <c r="I163" s="386"/>
      <c r="J163" s="386"/>
    </row>
    <row r="164" spans="1:10" s="337" customFormat="1" ht="18" customHeight="1">
      <c r="A164" s="333"/>
      <c r="B164" s="402"/>
      <c r="C164" s="405"/>
      <c r="D164" s="404">
        <f>SUM(E164:H164)</f>
        <v>8000</v>
      </c>
      <c r="E164" s="409">
        <v>8000</v>
      </c>
      <c r="F164" s="409"/>
      <c r="G164" s="409"/>
      <c r="H164" s="59"/>
      <c r="I164" s="386"/>
      <c r="J164" s="386"/>
    </row>
    <row r="165" spans="1:10" s="337" customFormat="1" ht="27.75" customHeight="1">
      <c r="A165" s="333"/>
      <c r="B165" s="454">
        <v>80140</v>
      </c>
      <c r="C165" s="348" t="s">
        <v>310</v>
      </c>
      <c r="D165" s="431">
        <f t="shared" si="6"/>
        <v>7549900</v>
      </c>
      <c r="E165" s="431">
        <v>1890000</v>
      </c>
      <c r="F165" s="431">
        <v>1500000</v>
      </c>
      <c r="G165" s="431">
        <v>1700000</v>
      </c>
      <c r="H165" s="431">
        <v>2459900</v>
      </c>
      <c r="I165" s="386"/>
      <c r="J165" s="386"/>
    </row>
    <row r="166" spans="1:10" s="337" customFormat="1" ht="18" customHeight="1">
      <c r="A166" s="333"/>
      <c r="B166" s="402"/>
      <c r="C166" s="405"/>
      <c r="D166" s="404">
        <f t="shared" si="6"/>
        <v>0</v>
      </c>
      <c r="E166" s="409">
        <v>510000</v>
      </c>
      <c r="F166" s="409"/>
      <c r="G166" s="409"/>
      <c r="H166" s="59">
        <v>-510000</v>
      </c>
      <c r="I166" s="386"/>
      <c r="J166" s="386"/>
    </row>
    <row r="167" spans="1:10" s="337" customFormat="1" ht="21" customHeight="1">
      <c r="A167" s="421">
        <v>851</v>
      </c>
      <c r="B167" s="421"/>
      <c r="C167" s="425" t="s">
        <v>228</v>
      </c>
      <c r="D167" s="426">
        <f>SUM(E167:H167)</f>
        <v>717456</v>
      </c>
      <c r="E167" s="426">
        <f>E169</f>
        <v>5665</v>
      </c>
      <c r="F167" s="426">
        <f>F168+F169+F170</f>
        <v>407203</v>
      </c>
      <c r="G167" s="426">
        <f>G168+G170+G169</f>
        <v>161283</v>
      </c>
      <c r="H167" s="426">
        <f>H168+H170+H169</f>
        <v>143305</v>
      </c>
      <c r="I167" s="386"/>
      <c r="J167" s="451"/>
    </row>
    <row r="168" spans="1:10" s="337" customFormat="1" ht="21" customHeight="1">
      <c r="A168" s="333"/>
      <c r="B168" s="120">
        <v>85153</v>
      </c>
      <c r="C168" s="737" t="s">
        <v>401</v>
      </c>
      <c r="D168" s="738">
        <f t="shared" si="6"/>
        <v>26000</v>
      </c>
      <c r="E168" s="738"/>
      <c r="F168" s="637">
        <v>8000</v>
      </c>
      <c r="G168" s="637">
        <v>13500</v>
      </c>
      <c r="H168" s="637">
        <v>4500</v>
      </c>
      <c r="I168" s="386"/>
      <c r="J168" s="386"/>
    </row>
    <row r="169" spans="1:10" s="337" customFormat="1" ht="21.75" customHeight="1">
      <c r="A169" s="333"/>
      <c r="B169" s="120">
        <v>85154</v>
      </c>
      <c r="C169" s="737" t="s">
        <v>246</v>
      </c>
      <c r="D169" s="738">
        <f t="shared" si="6"/>
        <v>577656</v>
      </c>
      <c r="E169" s="738">
        <v>5665</v>
      </c>
      <c r="F169" s="632">
        <f>37316+293421</f>
        <v>330737</v>
      </c>
      <c r="G169" s="632">
        <v>128639</v>
      </c>
      <c r="H169" s="632">
        <v>112615</v>
      </c>
      <c r="I169" s="386"/>
      <c r="J169" s="386"/>
    </row>
    <row r="170" spans="1:10" s="337" customFormat="1" ht="20.25" customHeight="1">
      <c r="A170" s="333"/>
      <c r="B170" s="739">
        <v>85195</v>
      </c>
      <c r="C170" s="740" t="s">
        <v>225</v>
      </c>
      <c r="D170" s="632">
        <f t="shared" si="6"/>
        <v>113800</v>
      </c>
      <c r="E170" s="632"/>
      <c r="F170" s="632">
        <v>68466</v>
      </c>
      <c r="G170" s="632">
        <v>19144</v>
      </c>
      <c r="H170" s="632">
        <v>26190</v>
      </c>
      <c r="I170" s="386"/>
      <c r="J170" s="386"/>
    </row>
    <row r="171" spans="1:10" s="337" customFormat="1" ht="19.5" customHeight="1">
      <c r="A171" s="421">
        <v>854</v>
      </c>
      <c r="B171" s="395"/>
      <c r="C171" s="396" t="s">
        <v>238</v>
      </c>
      <c r="D171" s="397">
        <f aca="true" t="shared" si="8" ref="D171:D183">SUM(E171:H171)</f>
        <v>74218713</v>
      </c>
      <c r="E171" s="449">
        <f>20316750+E173+E175+E177+E179+E181+E183</f>
        <v>20989050</v>
      </c>
      <c r="F171" s="449">
        <v>16540077</v>
      </c>
      <c r="G171" s="449">
        <f>18265932+G173+G175+G177+G179</f>
        <v>17877932</v>
      </c>
      <c r="H171" s="449">
        <f>19044654+H175+H177+H179+H181+H183</f>
        <v>18811654</v>
      </c>
      <c r="I171" s="386"/>
      <c r="J171" s="386"/>
    </row>
    <row r="172" spans="1:10" s="337" customFormat="1" ht="19.5" customHeight="1">
      <c r="A172" s="387"/>
      <c r="B172" s="65">
        <v>85401</v>
      </c>
      <c r="C172" s="65" t="s">
        <v>334</v>
      </c>
      <c r="D172" s="431">
        <f t="shared" si="8"/>
        <v>5194944</v>
      </c>
      <c r="E172" s="431">
        <v>1300000</v>
      </c>
      <c r="F172" s="431">
        <v>1100000</v>
      </c>
      <c r="G172" s="431">
        <v>1400000</v>
      </c>
      <c r="H172" s="431">
        <v>1394944</v>
      </c>
      <c r="I172" s="386"/>
      <c r="J172" s="386"/>
    </row>
    <row r="173" spans="1:10" s="337" customFormat="1" ht="19.5" customHeight="1">
      <c r="A173" s="333"/>
      <c r="B173" s="402"/>
      <c r="C173" s="422"/>
      <c r="D173" s="409">
        <f t="shared" si="8"/>
        <v>0</v>
      </c>
      <c r="E173" s="409">
        <v>178000</v>
      </c>
      <c r="F173" s="409"/>
      <c r="G173" s="409">
        <v>-178000</v>
      </c>
      <c r="H173" s="455"/>
      <c r="I173" s="386"/>
      <c r="J173" s="386"/>
    </row>
    <row r="174" spans="1:10" s="337" customFormat="1" ht="19.5" customHeight="1">
      <c r="A174" s="387"/>
      <c r="B174" s="64">
        <v>85403</v>
      </c>
      <c r="C174" s="64" t="s">
        <v>338</v>
      </c>
      <c r="D174" s="424">
        <f t="shared" si="8"/>
        <v>6636953</v>
      </c>
      <c r="E174" s="424">
        <v>1660000</v>
      </c>
      <c r="F174" s="424">
        <v>1323317</v>
      </c>
      <c r="G174" s="424">
        <v>1600182</v>
      </c>
      <c r="H174" s="424">
        <v>2053454</v>
      </c>
      <c r="I174" s="386"/>
      <c r="J174" s="386"/>
    </row>
    <row r="175" spans="1:10" s="337" customFormat="1" ht="19.5" customHeight="1">
      <c r="A175" s="333"/>
      <c r="B175" s="402"/>
      <c r="C175" s="405"/>
      <c r="D175" s="404">
        <f t="shared" si="8"/>
        <v>50000</v>
      </c>
      <c r="E175" s="409">
        <v>350000</v>
      </c>
      <c r="F175" s="409"/>
      <c r="G175" s="409">
        <v>-150000</v>
      </c>
      <c r="H175" s="455">
        <v>-150000</v>
      </c>
      <c r="I175" s="386"/>
      <c r="J175" s="386"/>
    </row>
    <row r="176" spans="1:10" s="337" customFormat="1" ht="19.5" customHeight="1">
      <c r="A176" s="387"/>
      <c r="B176" s="65">
        <v>85405</v>
      </c>
      <c r="C176" s="432" t="s">
        <v>335</v>
      </c>
      <c r="D176" s="431">
        <f t="shared" si="8"/>
        <v>1287000</v>
      </c>
      <c r="E176" s="431">
        <v>321750</v>
      </c>
      <c r="F176" s="431">
        <v>321750</v>
      </c>
      <c r="G176" s="431">
        <v>321750</v>
      </c>
      <c r="H176" s="431">
        <v>321750</v>
      </c>
      <c r="I176" s="386"/>
      <c r="J176" s="386"/>
    </row>
    <row r="177" spans="1:10" s="337" customFormat="1" ht="19.5" customHeight="1">
      <c r="A177" s="428"/>
      <c r="B177" s="428"/>
      <c r="C177" s="442"/>
      <c r="D177" s="430">
        <f t="shared" si="8"/>
        <v>0</v>
      </c>
      <c r="E177" s="430">
        <v>40000</v>
      </c>
      <c r="F177" s="430"/>
      <c r="G177" s="430">
        <v>-20000</v>
      </c>
      <c r="H177" s="767">
        <v>-20000</v>
      </c>
      <c r="I177" s="386"/>
      <c r="J177" s="386"/>
    </row>
    <row r="178" spans="1:10" s="337" customFormat="1" ht="19.5" customHeight="1">
      <c r="A178" s="387"/>
      <c r="B178" s="64">
        <v>85407</v>
      </c>
      <c r="C178" s="766" t="s">
        <v>301</v>
      </c>
      <c r="D178" s="424">
        <f t="shared" si="8"/>
        <v>1937660</v>
      </c>
      <c r="E178" s="424">
        <v>485000</v>
      </c>
      <c r="F178" s="424">
        <v>460000</v>
      </c>
      <c r="G178" s="424">
        <v>460000</v>
      </c>
      <c r="H178" s="424">
        <v>532660</v>
      </c>
      <c r="I178" s="386"/>
      <c r="J178" s="386"/>
    </row>
    <row r="179" spans="1:10" s="337" customFormat="1" ht="19.5" customHeight="1">
      <c r="A179" s="333"/>
      <c r="B179" s="402"/>
      <c r="C179" s="405"/>
      <c r="D179" s="404">
        <f t="shared" si="8"/>
        <v>0</v>
      </c>
      <c r="E179" s="409">
        <v>91000</v>
      </c>
      <c r="F179" s="409"/>
      <c r="G179" s="409">
        <v>-40000</v>
      </c>
      <c r="H179" s="455">
        <v>-51000</v>
      </c>
      <c r="I179" s="386"/>
      <c r="J179" s="386"/>
    </row>
    <row r="180" spans="1:10" s="337" customFormat="1" ht="19.5" customHeight="1">
      <c r="A180" s="387"/>
      <c r="B180" s="456">
        <v>85415</v>
      </c>
      <c r="C180" s="457" t="s">
        <v>253</v>
      </c>
      <c r="D180" s="431">
        <f t="shared" si="8"/>
        <v>295010</v>
      </c>
      <c r="E180" s="431">
        <v>90000</v>
      </c>
      <c r="F180" s="431">
        <v>85010</v>
      </c>
      <c r="G180" s="431">
        <v>30000</v>
      </c>
      <c r="H180" s="431">
        <v>90000</v>
      </c>
      <c r="I180" s="386"/>
      <c r="J180" s="386"/>
    </row>
    <row r="181" spans="1:10" s="337" customFormat="1" ht="19.5" customHeight="1">
      <c r="A181" s="333"/>
      <c r="B181" s="402"/>
      <c r="C181" s="422"/>
      <c r="D181" s="409">
        <f t="shared" si="8"/>
        <v>1300</v>
      </c>
      <c r="E181" s="409">
        <v>11300</v>
      </c>
      <c r="F181" s="409"/>
      <c r="G181" s="409"/>
      <c r="H181" s="404">
        <v>-10000</v>
      </c>
      <c r="I181" s="386"/>
      <c r="J181" s="386"/>
    </row>
    <row r="182" spans="1:10" s="337" customFormat="1" ht="19.5" customHeight="1">
      <c r="A182" s="387"/>
      <c r="B182" s="64">
        <v>85417</v>
      </c>
      <c r="C182" s="458" t="s">
        <v>339</v>
      </c>
      <c r="D182" s="424">
        <f t="shared" si="8"/>
        <v>224000</v>
      </c>
      <c r="E182" s="424">
        <v>60000</v>
      </c>
      <c r="F182" s="424">
        <v>50000</v>
      </c>
      <c r="G182" s="424">
        <v>54000</v>
      </c>
      <c r="H182" s="424">
        <v>60000</v>
      </c>
      <c r="I182" s="386"/>
      <c r="J182" s="386"/>
    </row>
    <row r="183" spans="1:10" s="337" customFormat="1" ht="19.5" customHeight="1">
      <c r="A183" s="428"/>
      <c r="B183" s="428"/>
      <c r="C183" s="442"/>
      <c r="D183" s="430">
        <f t="shared" si="8"/>
        <v>0</v>
      </c>
      <c r="E183" s="430">
        <v>2000</v>
      </c>
      <c r="F183" s="430"/>
      <c r="G183" s="430"/>
      <c r="H183" s="452">
        <v>-2000</v>
      </c>
      <c r="I183" s="386"/>
      <c r="J183" s="386"/>
    </row>
  </sheetData>
  <mergeCells count="1">
    <mergeCell ref="D7:D8"/>
  </mergeCells>
  <printOptions horizontalCentered="1"/>
  <pageMargins left="0.5905511811023623" right="0.5905511811023623" top="0.3937007874015748" bottom="0.5905511811023623" header="0.5118110236220472" footer="0.3937007874015748"/>
  <pageSetup firstPageNumber="55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workbookViewId="0" topLeftCell="A1">
      <pane ySplit="1080" topLeftCell="BM1" activePane="bottomLeft" state="split"/>
      <selection pane="topLeft" activeCell="G2" sqref="G2"/>
      <selection pane="bottomLeft" activeCell="C10" sqref="C10"/>
    </sheetView>
  </sheetViews>
  <sheetFormatPr defaultColWidth="9.00390625" defaultRowHeight="12.75"/>
  <cols>
    <col min="1" max="1" width="6.25390625" style="83" customWidth="1"/>
    <col min="2" max="2" width="8.125" style="83" customWidth="1"/>
    <col min="3" max="3" width="64.625" style="83" customWidth="1"/>
    <col min="4" max="4" width="19.375" style="93" customWidth="1"/>
    <col min="5" max="6" width="14.75390625" style="93" customWidth="1"/>
    <col min="7" max="7" width="15.75390625" style="93" customWidth="1"/>
    <col min="8" max="8" width="10.375" style="83" customWidth="1"/>
    <col min="9" max="9" width="11.00390625" style="83" customWidth="1"/>
    <col min="10" max="16384" width="9.125" style="83" customWidth="1"/>
  </cols>
  <sheetData>
    <row r="1" spans="6:7" ht="16.5" customHeight="1">
      <c r="F1" s="93" t="s">
        <v>152</v>
      </c>
      <c r="G1" s="2"/>
    </row>
    <row r="2" spans="3:7" ht="16.5" customHeight="1">
      <c r="C2" s="94" t="s">
        <v>223</v>
      </c>
      <c r="D2" s="95"/>
      <c r="F2" s="81" t="s">
        <v>538</v>
      </c>
      <c r="G2" s="2"/>
    </row>
    <row r="3" spans="3:7" ht="16.5" customHeight="1">
      <c r="C3" s="94"/>
      <c r="D3" s="95"/>
      <c r="F3" s="81" t="s">
        <v>179</v>
      </c>
      <c r="G3" s="2"/>
    </row>
    <row r="4" spans="3:7" ht="16.5" customHeight="1">
      <c r="C4" s="84"/>
      <c r="F4" s="81" t="s">
        <v>361</v>
      </c>
      <c r="G4" s="2"/>
    </row>
    <row r="5" ht="7.5" customHeight="1">
      <c r="C5" s="84"/>
    </row>
    <row r="6" ht="13.5" thickBot="1">
      <c r="G6" s="93" t="s">
        <v>245</v>
      </c>
    </row>
    <row r="7" spans="1:7" ht="17.25" customHeight="1" thickTop="1">
      <c r="A7" s="96"/>
      <c r="B7" s="96"/>
      <c r="C7" s="97"/>
      <c r="D7" s="777" t="s">
        <v>175</v>
      </c>
      <c r="E7" s="98"/>
      <c r="F7" s="98"/>
      <c r="G7" s="98"/>
    </row>
    <row r="8" spans="1:7" ht="15.75" customHeight="1">
      <c r="A8" s="99"/>
      <c r="B8" s="99"/>
      <c r="C8" s="100" t="s">
        <v>256</v>
      </c>
      <c r="D8" s="778"/>
      <c r="E8" s="102"/>
      <c r="F8" s="101"/>
      <c r="G8" s="102" t="s">
        <v>255</v>
      </c>
    </row>
    <row r="9" spans="1:7" ht="15.75" customHeight="1">
      <c r="A9" s="100" t="s">
        <v>241</v>
      </c>
      <c r="B9" s="100" t="s">
        <v>258</v>
      </c>
      <c r="C9" s="484" t="s">
        <v>153</v>
      </c>
      <c r="D9" s="778"/>
      <c r="E9" s="102" t="s">
        <v>250</v>
      </c>
      <c r="F9" s="101" t="s">
        <v>251</v>
      </c>
      <c r="G9" s="102" t="s">
        <v>257</v>
      </c>
    </row>
    <row r="10" spans="1:7" ht="32.25" customHeight="1" thickBot="1">
      <c r="A10" s="103"/>
      <c r="B10" s="103"/>
      <c r="C10" s="87"/>
      <c r="D10" s="779"/>
      <c r="E10" s="104"/>
      <c r="F10" s="101"/>
      <c r="G10" s="104"/>
    </row>
    <row r="11" spans="1:7" s="107" customFormat="1" ht="14.25" customHeight="1" thickBot="1" thickTop="1">
      <c r="A11" s="105">
        <v>1</v>
      </c>
      <c r="B11" s="105">
        <v>2</v>
      </c>
      <c r="C11" s="105">
        <v>3</v>
      </c>
      <c r="D11" s="106">
        <v>4</v>
      </c>
      <c r="E11" s="106">
        <v>5</v>
      </c>
      <c r="F11" s="106">
        <v>6</v>
      </c>
      <c r="G11" s="106">
        <v>7</v>
      </c>
    </row>
    <row r="12" spans="1:8" ht="20.25" customHeight="1" thickBot="1" thickTop="1">
      <c r="A12" s="108"/>
      <c r="B12" s="108"/>
      <c r="C12" s="109" t="s">
        <v>260</v>
      </c>
      <c r="D12" s="110">
        <v>651113203</v>
      </c>
      <c r="E12" s="110">
        <f>E14+E59+E60</f>
        <v>179909</v>
      </c>
      <c r="F12" s="110">
        <f>F14+F59+F60</f>
        <v>893508</v>
      </c>
      <c r="G12" s="110">
        <f>D12-E12+F12</f>
        <v>651826802</v>
      </c>
      <c r="H12" s="93">
        <f>F12-E12</f>
        <v>713599</v>
      </c>
    </row>
    <row r="13" spans="1:7" ht="16.5" customHeight="1">
      <c r="A13" s="111"/>
      <c r="B13" s="111"/>
      <c r="C13" s="112" t="s">
        <v>224</v>
      </c>
      <c r="D13" s="113"/>
      <c r="E13" s="114"/>
      <c r="F13" s="113"/>
      <c r="G13" s="114"/>
    </row>
    <row r="14" spans="1:7" ht="17.25" customHeight="1" thickBot="1">
      <c r="A14" s="115"/>
      <c r="B14" s="115"/>
      <c r="C14" s="116" t="s">
        <v>261</v>
      </c>
      <c r="D14" s="117">
        <v>594481493</v>
      </c>
      <c r="E14" s="117">
        <f>E15+E26+E30+E33+E40+E46+E52</f>
        <v>179909</v>
      </c>
      <c r="F14" s="117">
        <f>F15+F26+F30+F33+F40+F46+F52</f>
        <v>884657</v>
      </c>
      <c r="G14" s="117">
        <f>D14-E14+F14</f>
        <v>595186241</v>
      </c>
    </row>
    <row r="15" spans="1:7" ht="18.75" customHeight="1" thickTop="1">
      <c r="A15" s="554" t="s">
        <v>360</v>
      </c>
      <c r="B15" s="72"/>
      <c r="C15" s="72" t="s">
        <v>188</v>
      </c>
      <c r="D15" s="73">
        <v>3000</v>
      </c>
      <c r="E15" s="73"/>
      <c r="F15" s="73">
        <f>F16</f>
        <v>1000</v>
      </c>
      <c r="G15" s="73">
        <f>F15+D15-E15</f>
        <v>4000</v>
      </c>
    </row>
    <row r="16" spans="1:7" ht="18.75" customHeight="1">
      <c r="A16" s="64"/>
      <c r="B16" s="496" t="s">
        <v>189</v>
      </c>
      <c r="C16" s="71" t="s">
        <v>190</v>
      </c>
      <c r="D16" s="77">
        <v>3000</v>
      </c>
      <c r="E16" s="77"/>
      <c r="F16" s="77">
        <f>F17</f>
        <v>1000</v>
      </c>
      <c r="G16" s="77">
        <f>F16+D16-E16</f>
        <v>4000</v>
      </c>
    </row>
    <row r="17" spans="1:7" ht="18.75" customHeight="1">
      <c r="A17" s="64"/>
      <c r="B17" s="64"/>
      <c r="C17" s="126" t="s">
        <v>191</v>
      </c>
      <c r="D17" s="92">
        <v>3000</v>
      </c>
      <c r="E17" s="92"/>
      <c r="F17" s="92">
        <v>1000</v>
      </c>
      <c r="G17" s="92">
        <f>F17+D17-E17</f>
        <v>4000</v>
      </c>
    </row>
    <row r="18" spans="1:7" ht="18.75" customHeight="1" hidden="1">
      <c r="A18" s="72">
        <v>750</v>
      </c>
      <c r="B18" s="72"/>
      <c r="C18" s="72" t="s">
        <v>294</v>
      </c>
      <c r="D18" s="73">
        <v>45335000</v>
      </c>
      <c r="E18" s="73"/>
      <c r="F18" s="73"/>
      <c r="G18" s="73">
        <f aca="true" t="shared" si="0" ref="G18:G36">F18+D18-E18</f>
        <v>45335000</v>
      </c>
    </row>
    <row r="19" spans="1:7" ht="18.75" customHeight="1" hidden="1">
      <c r="A19" s="64"/>
      <c r="B19" s="71">
        <v>75095</v>
      </c>
      <c r="C19" s="71" t="s">
        <v>225</v>
      </c>
      <c r="D19" s="77">
        <v>885000</v>
      </c>
      <c r="E19" s="77"/>
      <c r="F19" s="77"/>
      <c r="G19" s="77">
        <f t="shared" si="0"/>
        <v>885000</v>
      </c>
    </row>
    <row r="20" spans="1:7" ht="18.75" customHeight="1" hidden="1">
      <c r="A20" s="64"/>
      <c r="B20" s="65"/>
      <c r="C20" s="121" t="s">
        <v>161</v>
      </c>
      <c r="D20" s="76">
        <v>860000</v>
      </c>
      <c r="E20" s="76"/>
      <c r="F20" s="76"/>
      <c r="G20" s="92">
        <f t="shared" si="0"/>
        <v>860000</v>
      </c>
    </row>
    <row r="21" spans="1:7" ht="18.75" customHeight="1" hidden="1">
      <c r="A21" s="64"/>
      <c r="B21" s="64"/>
      <c r="C21" s="467" t="s">
        <v>119</v>
      </c>
      <c r="D21" s="468"/>
      <c r="E21" s="468"/>
      <c r="F21" s="468"/>
      <c r="G21" s="468">
        <f t="shared" si="0"/>
        <v>0</v>
      </c>
    </row>
    <row r="22" spans="1:7" ht="18.75" customHeight="1" hidden="1">
      <c r="A22" s="64"/>
      <c r="B22" s="64"/>
      <c r="C22" s="495" t="s">
        <v>270</v>
      </c>
      <c r="D22" s="123"/>
      <c r="E22" s="123"/>
      <c r="F22" s="123"/>
      <c r="G22" s="134">
        <f t="shared" si="0"/>
        <v>0</v>
      </c>
    </row>
    <row r="23" spans="1:7" ht="18.75" customHeight="1" hidden="1">
      <c r="A23" s="64"/>
      <c r="B23" s="64"/>
      <c r="C23" s="120" t="s">
        <v>271</v>
      </c>
      <c r="D23" s="124"/>
      <c r="E23" s="124"/>
      <c r="F23" s="124"/>
      <c r="G23" s="75">
        <f t="shared" si="0"/>
        <v>0</v>
      </c>
    </row>
    <row r="24" spans="1:7" ht="18.75" customHeight="1" hidden="1">
      <c r="A24" s="64"/>
      <c r="B24" s="64"/>
      <c r="C24" s="120" t="s">
        <v>272</v>
      </c>
      <c r="D24" s="124"/>
      <c r="E24" s="124"/>
      <c r="F24" s="124"/>
      <c r="G24" s="75">
        <f t="shared" si="0"/>
        <v>0</v>
      </c>
    </row>
    <row r="25" spans="1:7" ht="18.75" customHeight="1" hidden="1">
      <c r="A25" s="85"/>
      <c r="B25" s="85"/>
      <c r="C25" s="125" t="s">
        <v>278</v>
      </c>
      <c r="D25" s="75"/>
      <c r="E25" s="75"/>
      <c r="F25" s="75"/>
      <c r="G25" s="75">
        <f t="shared" si="0"/>
        <v>0</v>
      </c>
    </row>
    <row r="26" spans="1:7" ht="18.75" customHeight="1">
      <c r="A26" s="67">
        <v>754</v>
      </c>
      <c r="B26" s="67"/>
      <c r="C26" s="67" t="s">
        <v>314</v>
      </c>
      <c r="D26" s="210">
        <v>4521000</v>
      </c>
      <c r="E26" s="210">
        <f>E27</f>
        <v>12000</v>
      </c>
      <c r="F26" s="210">
        <f>F27</f>
        <v>12000</v>
      </c>
      <c r="G26" s="210">
        <f t="shared" si="0"/>
        <v>4521000</v>
      </c>
    </row>
    <row r="27" spans="1:7" ht="21.75" customHeight="1">
      <c r="A27" s="64"/>
      <c r="B27" s="71">
        <v>75416</v>
      </c>
      <c r="C27" s="71" t="s">
        <v>164</v>
      </c>
      <c r="D27" s="77">
        <v>3836000</v>
      </c>
      <c r="E27" s="77">
        <f>E28</f>
        <v>12000</v>
      </c>
      <c r="F27" s="77">
        <f>F29</f>
        <v>12000</v>
      </c>
      <c r="G27" s="77">
        <f t="shared" si="0"/>
        <v>3836000</v>
      </c>
    </row>
    <row r="28" spans="1:7" ht="18.75" customHeight="1">
      <c r="A28" s="64"/>
      <c r="B28" s="64"/>
      <c r="C28" s="121" t="s">
        <v>276</v>
      </c>
      <c r="D28" s="76">
        <v>471000</v>
      </c>
      <c r="E28" s="76">
        <v>12000</v>
      </c>
      <c r="F28" s="76"/>
      <c r="G28" s="76">
        <f t="shared" si="0"/>
        <v>459000</v>
      </c>
    </row>
    <row r="29" spans="1:7" ht="18.75" customHeight="1">
      <c r="A29" s="64"/>
      <c r="B29" s="64"/>
      <c r="C29" s="64" t="s">
        <v>266</v>
      </c>
      <c r="D29" s="86"/>
      <c r="E29" s="86"/>
      <c r="F29" s="86">
        <v>12000</v>
      </c>
      <c r="G29" s="86">
        <f>F29+D29-E29</f>
        <v>12000</v>
      </c>
    </row>
    <row r="30" spans="1:9" ht="20.25" customHeight="1">
      <c r="A30" s="67">
        <v>758</v>
      </c>
      <c r="B30" s="67"/>
      <c r="C30" s="67" t="s">
        <v>155</v>
      </c>
      <c r="D30" s="210">
        <v>6274677</v>
      </c>
      <c r="E30" s="210">
        <f>E31</f>
        <v>1000</v>
      </c>
      <c r="F30" s="210"/>
      <c r="G30" s="210">
        <f t="shared" si="0"/>
        <v>6273677</v>
      </c>
      <c r="H30" s="93"/>
      <c r="I30" s="93"/>
    </row>
    <row r="31" spans="1:8" ht="21" customHeight="1">
      <c r="A31" s="64"/>
      <c r="B31" s="71">
        <v>75818</v>
      </c>
      <c r="C31" s="71" t="s">
        <v>157</v>
      </c>
      <c r="D31" s="77">
        <v>6224677</v>
      </c>
      <c r="E31" s="77">
        <f>E32</f>
        <v>1000</v>
      </c>
      <c r="F31" s="77"/>
      <c r="G31" s="77">
        <f t="shared" si="0"/>
        <v>6223677</v>
      </c>
      <c r="H31" s="93"/>
    </row>
    <row r="32" spans="1:7" ht="21" customHeight="1">
      <c r="A32" s="64"/>
      <c r="B32" s="65"/>
      <c r="C32" s="348" t="s">
        <v>156</v>
      </c>
      <c r="D32" s="86">
        <v>6124677</v>
      </c>
      <c r="E32" s="222">
        <v>1000</v>
      </c>
      <c r="F32" s="222"/>
      <c r="G32" s="86">
        <f t="shared" si="0"/>
        <v>6123677</v>
      </c>
    </row>
    <row r="33" spans="1:9" ht="20.25" customHeight="1">
      <c r="A33" s="67">
        <v>801</v>
      </c>
      <c r="B33" s="67"/>
      <c r="C33" s="67" t="s">
        <v>226</v>
      </c>
      <c r="D33" s="210">
        <v>246268675</v>
      </c>
      <c r="E33" s="210">
        <f>E34+E37</f>
        <v>23809</v>
      </c>
      <c r="F33" s="210">
        <f>F34+F37</f>
        <v>23809</v>
      </c>
      <c r="G33" s="210">
        <f t="shared" si="0"/>
        <v>246268675</v>
      </c>
      <c r="H33" s="93">
        <f>F33-E33</f>
        <v>0</v>
      </c>
      <c r="I33" s="93">
        <v>137963</v>
      </c>
    </row>
    <row r="34" spans="1:8" ht="18.75" customHeight="1">
      <c r="A34" s="64"/>
      <c r="B34" s="71">
        <v>80101</v>
      </c>
      <c r="C34" s="71" t="s">
        <v>227</v>
      </c>
      <c r="D34" s="77">
        <v>81881000</v>
      </c>
      <c r="E34" s="77">
        <f>E35+E36</f>
        <v>6306</v>
      </c>
      <c r="F34" s="77">
        <f>F36</f>
        <v>6306</v>
      </c>
      <c r="G34" s="77">
        <f t="shared" si="0"/>
        <v>81881000</v>
      </c>
      <c r="H34" s="93">
        <f>F34-E34</f>
        <v>0</v>
      </c>
    </row>
    <row r="35" spans="1:7" ht="18.75" customHeight="1">
      <c r="A35" s="64"/>
      <c r="B35" s="64"/>
      <c r="C35" s="126" t="s">
        <v>276</v>
      </c>
      <c r="D35" s="92">
        <v>11478000</v>
      </c>
      <c r="E35" s="92">
        <v>6306</v>
      </c>
      <c r="F35" s="92"/>
      <c r="G35" s="92">
        <f t="shared" si="0"/>
        <v>11471694</v>
      </c>
    </row>
    <row r="36" spans="1:7" ht="18.75" customHeight="1">
      <c r="A36" s="64"/>
      <c r="B36" s="64"/>
      <c r="C36" s="64" t="s">
        <v>266</v>
      </c>
      <c r="D36" s="86">
        <v>3362000</v>
      </c>
      <c r="E36" s="86"/>
      <c r="F36" s="86">
        <v>6306</v>
      </c>
      <c r="G36" s="86">
        <f t="shared" si="0"/>
        <v>3368306</v>
      </c>
    </row>
    <row r="37" spans="1:8" ht="18" customHeight="1">
      <c r="A37" s="64"/>
      <c r="B37" s="71">
        <v>80110</v>
      </c>
      <c r="C37" s="71" t="s">
        <v>297</v>
      </c>
      <c r="D37" s="77">
        <v>47251000</v>
      </c>
      <c r="E37" s="77">
        <f>E39</f>
        <v>17503</v>
      </c>
      <c r="F37" s="77">
        <f>F38</f>
        <v>17503</v>
      </c>
      <c r="G37" s="77">
        <f>F37+D37-E37</f>
        <v>47251000</v>
      </c>
      <c r="H37" s="93">
        <f>F37-E37</f>
        <v>0</v>
      </c>
    </row>
    <row r="38" spans="1:7" ht="18" customHeight="1">
      <c r="A38" s="64"/>
      <c r="B38" s="64"/>
      <c r="C38" s="126" t="s">
        <v>276</v>
      </c>
      <c r="D38" s="92">
        <v>6434000</v>
      </c>
      <c r="E38" s="92"/>
      <c r="F38" s="92">
        <v>17503</v>
      </c>
      <c r="G38" s="92">
        <f>F38+D38-E38</f>
        <v>6451503</v>
      </c>
    </row>
    <row r="39" spans="1:7" ht="18" customHeight="1">
      <c r="A39" s="85"/>
      <c r="B39" s="85"/>
      <c r="C39" s="85" t="s">
        <v>266</v>
      </c>
      <c r="D39" s="231">
        <v>2900000</v>
      </c>
      <c r="E39" s="231">
        <v>17503</v>
      </c>
      <c r="F39" s="231"/>
      <c r="G39" s="231">
        <f>F39+D39-E39</f>
        <v>2882497</v>
      </c>
    </row>
    <row r="40" spans="1:8" ht="21" customHeight="1">
      <c r="A40" s="67">
        <v>853</v>
      </c>
      <c r="B40" s="67"/>
      <c r="C40" s="67" t="s">
        <v>229</v>
      </c>
      <c r="D40" s="210">
        <v>71752978</v>
      </c>
      <c r="E40" s="210">
        <v>6000</v>
      </c>
      <c r="F40" s="210">
        <v>433489</v>
      </c>
      <c r="G40" s="210">
        <f>D40-E40+F40</f>
        <v>72180467</v>
      </c>
      <c r="H40" s="93">
        <f>F40-E40</f>
        <v>427489</v>
      </c>
    </row>
    <row r="41" spans="1:7" s="84" customFormat="1" ht="21.75" customHeight="1">
      <c r="A41" s="70"/>
      <c r="B41" s="62">
        <v>85302</v>
      </c>
      <c r="C41" s="62" t="s">
        <v>299</v>
      </c>
      <c r="D41" s="74">
        <v>13583400</v>
      </c>
      <c r="E41" s="74">
        <v>6000</v>
      </c>
      <c r="F41" s="74">
        <v>6000</v>
      </c>
      <c r="G41" s="74">
        <f>F41+D41-E41</f>
        <v>13583400</v>
      </c>
    </row>
    <row r="42" spans="1:7" ht="21.75" customHeight="1">
      <c r="A42" s="64"/>
      <c r="B42" s="64"/>
      <c r="C42" s="480" t="s">
        <v>276</v>
      </c>
      <c r="D42" s="76">
        <v>3860400</v>
      </c>
      <c r="E42" s="76">
        <v>6000</v>
      </c>
      <c r="F42" s="76"/>
      <c r="G42" s="76">
        <f>D42-E42+F42</f>
        <v>3854400</v>
      </c>
    </row>
    <row r="43" spans="1:7" ht="21.75" customHeight="1">
      <c r="A43" s="64"/>
      <c r="B43" s="64"/>
      <c r="C43" s="733" t="s">
        <v>266</v>
      </c>
      <c r="D43" s="86">
        <v>1120000</v>
      </c>
      <c r="E43" s="86"/>
      <c r="F43" s="86">
        <v>6000</v>
      </c>
      <c r="G43" s="86">
        <f>D43-E43+F43</f>
        <v>1126000</v>
      </c>
    </row>
    <row r="44" spans="1:7" s="84" customFormat="1" ht="21.75" customHeight="1">
      <c r="A44" s="70"/>
      <c r="B44" s="71">
        <v>85315</v>
      </c>
      <c r="C44" s="71" t="s">
        <v>234</v>
      </c>
      <c r="D44" s="77">
        <v>14554978</v>
      </c>
      <c r="E44" s="77"/>
      <c r="F44" s="77">
        <v>427489</v>
      </c>
      <c r="G44" s="77">
        <f>F44+D44-E44</f>
        <v>14982467</v>
      </c>
    </row>
    <row r="45" spans="1:7" ht="21.75" customHeight="1">
      <c r="A45" s="64"/>
      <c r="B45" s="64"/>
      <c r="C45" s="65" t="s">
        <v>212</v>
      </c>
      <c r="D45" s="222">
        <v>14554978</v>
      </c>
      <c r="E45" s="222"/>
      <c r="F45" s="222">
        <v>427489</v>
      </c>
      <c r="G45" s="222">
        <f>F45+D45-E45</f>
        <v>14982467</v>
      </c>
    </row>
    <row r="46" spans="1:9" ht="21.75" customHeight="1">
      <c r="A46" s="67">
        <v>854</v>
      </c>
      <c r="B46" s="67"/>
      <c r="C46" s="67" t="s">
        <v>238</v>
      </c>
      <c r="D46" s="210">
        <v>80905700</v>
      </c>
      <c r="E46" s="210">
        <v>32000</v>
      </c>
      <c r="F46" s="210">
        <v>309259</v>
      </c>
      <c r="G46" s="210">
        <f>D46-E46+F46</f>
        <v>81182959</v>
      </c>
      <c r="H46" s="93">
        <f>F46-E46</f>
        <v>277259</v>
      </c>
      <c r="I46" s="93">
        <v>437208</v>
      </c>
    </row>
    <row r="47" spans="1:8" ht="21.75" customHeight="1">
      <c r="A47" s="64"/>
      <c r="B47" s="62">
        <v>85403</v>
      </c>
      <c r="C47" s="62" t="s">
        <v>168</v>
      </c>
      <c r="D47" s="74">
        <v>7610000</v>
      </c>
      <c r="E47" s="74">
        <v>32000</v>
      </c>
      <c r="F47" s="74">
        <v>32000</v>
      </c>
      <c r="G47" s="74">
        <f aca="true" t="shared" si="1" ref="G47:G56">F47+D47-E47</f>
        <v>7610000</v>
      </c>
      <c r="H47" s="93">
        <f>F47-E47</f>
        <v>0</v>
      </c>
    </row>
    <row r="48" spans="1:7" ht="21.75" customHeight="1">
      <c r="A48" s="64"/>
      <c r="B48" s="64"/>
      <c r="C48" s="121" t="s">
        <v>276</v>
      </c>
      <c r="D48" s="76">
        <v>1051000</v>
      </c>
      <c r="E48" s="76"/>
      <c r="F48" s="76">
        <v>32000</v>
      </c>
      <c r="G48" s="76">
        <f t="shared" si="1"/>
        <v>1083000</v>
      </c>
    </row>
    <row r="49" spans="1:7" ht="21.75" customHeight="1">
      <c r="A49" s="64"/>
      <c r="B49" s="64"/>
      <c r="C49" s="64" t="s">
        <v>280</v>
      </c>
      <c r="D49" s="86">
        <v>950000</v>
      </c>
      <c r="E49" s="86">
        <v>32000</v>
      </c>
      <c r="F49" s="86"/>
      <c r="G49" s="86">
        <f t="shared" si="1"/>
        <v>918000</v>
      </c>
    </row>
    <row r="50" spans="1:8" ht="21.75" customHeight="1">
      <c r="A50" s="64"/>
      <c r="B50" s="71">
        <v>85415</v>
      </c>
      <c r="C50" s="71" t="s">
        <v>253</v>
      </c>
      <c r="D50" s="77">
        <v>597000</v>
      </c>
      <c r="E50" s="77"/>
      <c r="F50" s="77">
        <v>277259</v>
      </c>
      <c r="G50" s="77">
        <f t="shared" si="1"/>
        <v>874259</v>
      </c>
      <c r="H50" s="93">
        <f>F50-E50</f>
        <v>277259</v>
      </c>
    </row>
    <row r="51" spans="1:7" ht="21.75" customHeight="1">
      <c r="A51" s="64"/>
      <c r="B51" s="64"/>
      <c r="C51" s="64" t="s">
        <v>216</v>
      </c>
      <c r="D51" s="222"/>
      <c r="E51" s="222"/>
      <c r="F51" s="222">
        <v>277259</v>
      </c>
      <c r="G51" s="86">
        <f t="shared" si="1"/>
        <v>277259</v>
      </c>
    </row>
    <row r="52" spans="1:7" ht="21.75" customHeight="1">
      <c r="A52" s="67">
        <v>900</v>
      </c>
      <c r="B52" s="67"/>
      <c r="C52" s="67" t="s">
        <v>217</v>
      </c>
      <c r="D52" s="210">
        <v>31534160</v>
      </c>
      <c r="E52" s="210">
        <v>105100</v>
      </c>
      <c r="F52" s="210">
        <v>105100</v>
      </c>
      <c r="G52" s="210">
        <f t="shared" si="1"/>
        <v>31534160</v>
      </c>
    </row>
    <row r="53" spans="1:7" s="84" customFormat="1" ht="21.75" customHeight="1">
      <c r="A53" s="132"/>
      <c r="B53" s="71">
        <v>90001</v>
      </c>
      <c r="C53" s="71" t="s">
        <v>218</v>
      </c>
      <c r="D53" s="77">
        <v>4803800</v>
      </c>
      <c r="E53" s="77">
        <v>100000</v>
      </c>
      <c r="F53" s="77">
        <v>100000</v>
      </c>
      <c r="G53" s="77">
        <f t="shared" si="1"/>
        <v>4803800</v>
      </c>
    </row>
    <row r="54" spans="1:7" ht="21.75" customHeight="1">
      <c r="A54" s="64"/>
      <c r="B54" s="64"/>
      <c r="C54" s="40" t="s">
        <v>193</v>
      </c>
      <c r="D54" s="76">
        <v>2070000</v>
      </c>
      <c r="E54" s="76"/>
      <c r="F54" s="76">
        <v>100000</v>
      </c>
      <c r="G54" s="76">
        <f t="shared" si="1"/>
        <v>2170000</v>
      </c>
    </row>
    <row r="55" spans="1:7" ht="21.75" customHeight="1">
      <c r="A55" s="64"/>
      <c r="B55" s="64"/>
      <c r="C55" s="682" t="s">
        <v>194</v>
      </c>
      <c r="D55" s="86">
        <v>200000</v>
      </c>
      <c r="E55" s="86">
        <v>100000</v>
      </c>
      <c r="F55" s="86"/>
      <c r="G55" s="86">
        <f t="shared" si="1"/>
        <v>100000</v>
      </c>
    </row>
    <row r="56" spans="1:7" s="84" customFormat="1" ht="21.75" customHeight="1">
      <c r="A56" s="70"/>
      <c r="B56" s="71">
        <v>90015</v>
      </c>
      <c r="C56" s="71" t="s">
        <v>236</v>
      </c>
      <c r="D56" s="77">
        <v>3226000</v>
      </c>
      <c r="E56" s="77">
        <v>5100</v>
      </c>
      <c r="F56" s="77">
        <v>5100</v>
      </c>
      <c r="G56" s="77">
        <f t="shared" si="1"/>
        <v>3226000</v>
      </c>
    </row>
    <row r="57" spans="1:7" ht="21.75" customHeight="1">
      <c r="A57" s="64"/>
      <c r="B57" s="64"/>
      <c r="C57" s="126" t="s">
        <v>196</v>
      </c>
      <c r="D57" s="92">
        <v>1400000</v>
      </c>
      <c r="E57" s="92">
        <v>5100</v>
      </c>
      <c r="F57" s="92"/>
      <c r="G57" s="86">
        <f>D57-E57+F57</f>
        <v>1394900</v>
      </c>
    </row>
    <row r="58" spans="1:7" ht="21.75" customHeight="1">
      <c r="A58" s="64"/>
      <c r="B58" s="64"/>
      <c r="C58" s="507" t="s">
        <v>266</v>
      </c>
      <c r="D58" s="245"/>
      <c r="E58" s="245"/>
      <c r="F58" s="245">
        <v>5100</v>
      </c>
      <c r="G58" s="245">
        <f>F58+D58-E58</f>
        <v>5100</v>
      </c>
    </row>
    <row r="59" spans="1:7" ht="34.5" customHeight="1">
      <c r="A59" s="64"/>
      <c r="B59" s="64"/>
      <c r="C59" s="731" t="s">
        <v>199</v>
      </c>
      <c r="D59" s="732">
        <v>2653981</v>
      </c>
      <c r="E59" s="732"/>
      <c r="F59" s="732"/>
      <c r="G59" s="732">
        <f>F59+D59-E59</f>
        <v>2653981</v>
      </c>
    </row>
    <row r="60" spans="1:7" ht="24" customHeight="1" thickBot="1">
      <c r="A60" s="64"/>
      <c r="B60" s="64"/>
      <c r="C60" s="144" t="s">
        <v>220</v>
      </c>
      <c r="D60" s="145">
        <v>53977729</v>
      </c>
      <c r="E60" s="145"/>
      <c r="F60" s="145">
        <v>8851</v>
      </c>
      <c r="G60" s="145">
        <f>F60+D60-E60</f>
        <v>53986580</v>
      </c>
    </row>
    <row r="61" spans="1:7" ht="21.75" customHeight="1" thickTop="1">
      <c r="A61" s="64"/>
      <c r="B61" s="64"/>
      <c r="C61" s="64" t="s">
        <v>224</v>
      </c>
      <c r="D61" s="86"/>
      <c r="E61" s="86"/>
      <c r="F61" s="86"/>
      <c r="G61" s="86"/>
    </row>
    <row r="62" spans="1:8" ht="23.25" customHeight="1">
      <c r="A62" s="85"/>
      <c r="B62" s="85"/>
      <c r="C62" s="770" t="s">
        <v>221</v>
      </c>
      <c r="D62" s="769">
        <v>33306195</v>
      </c>
      <c r="E62" s="769"/>
      <c r="F62" s="769"/>
      <c r="G62" s="769">
        <f>F62+D62-E62</f>
        <v>33306195</v>
      </c>
      <c r="H62" s="93">
        <f>F62-E62</f>
        <v>0</v>
      </c>
    </row>
    <row r="63" spans="1:8" ht="36" customHeight="1">
      <c r="A63" s="85"/>
      <c r="B63" s="85"/>
      <c r="C63" s="768" t="s">
        <v>222</v>
      </c>
      <c r="D63" s="769">
        <v>20671534</v>
      </c>
      <c r="E63" s="769"/>
      <c r="F63" s="769">
        <v>8851</v>
      </c>
      <c r="G63" s="769">
        <f>F63+D63-E63</f>
        <v>20680385</v>
      </c>
      <c r="H63" s="93">
        <f>F63-E63</f>
        <v>8851</v>
      </c>
    </row>
    <row r="64" spans="1:7" ht="21" customHeight="1">
      <c r="A64" s="72">
        <v>853</v>
      </c>
      <c r="B64" s="72"/>
      <c r="C64" s="72" t="s">
        <v>229</v>
      </c>
      <c r="D64" s="73">
        <v>3983000</v>
      </c>
      <c r="E64" s="73"/>
      <c r="F64" s="73">
        <v>8851</v>
      </c>
      <c r="G64" s="73">
        <f>F64+D64-E64</f>
        <v>3991851</v>
      </c>
    </row>
    <row r="65" spans="1:7" ht="21" customHeight="1">
      <c r="A65" s="64"/>
      <c r="B65" s="71">
        <v>85334</v>
      </c>
      <c r="C65" s="39" t="s">
        <v>350</v>
      </c>
      <c r="D65" s="77"/>
      <c r="E65" s="77"/>
      <c r="F65" s="77">
        <v>8851</v>
      </c>
      <c r="G65" s="77">
        <f>F65+D65-E65</f>
        <v>8851</v>
      </c>
    </row>
    <row r="66" spans="1:7" ht="21" customHeight="1">
      <c r="A66" s="85"/>
      <c r="B66" s="85"/>
      <c r="C66" s="287" t="s">
        <v>351</v>
      </c>
      <c r="D66" s="258"/>
      <c r="E66" s="258"/>
      <c r="F66" s="258">
        <v>8851</v>
      </c>
      <c r="G66" s="258">
        <f>F66+D66-E66</f>
        <v>8851</v>
      </c>
    </row>
  </sheetData>
  <mergeCells count="1">
    <mergeCell ref="D7:D10"/>
  </mergeCells>
  <printOptions horizontalCentered="1"/>
  <pageMargins left="0.5905511811023623" right="0.5905511811023623" top="0.3937007874015748" bottom="0.5905511811023623" header="0.5118110236220472" footer="0.3937007874015748"/>
  <pageSetup firstPageNumber="5" useFirstPageNumber="1" horizontalDpi="600" verticalDpi="600" orientation="landscape" paperSize="9" scale="9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N35"/>
  <sheetViews>
    <sheetView zoomScale="75" zoomScaleNormal="75" workbookViewId="0" topLeftCell="D1">
      <selection activeCell="J2" sqref="J2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41.375" style="259" customWidth="1"/>
    <col min="4" max="4" width="18.00390625" style="0" customWidth="1"/>
    <col min="5" max="5" width="12.875" style="0" customWidth="1"/>
    <col min="6" max="6" width="12.125" style="0" customWidth="1"/>
    <col min="7" max="7" width="10.75390625" style="0" customWidth="1"/>
    <col min="8" max="8" width="13.00390625" style="0" customWidth="1"/>
    <col min="9" max="9" width="13.375" style="0" customWidth="1"/>
    <col min="10" max="10" width="11.625" style="0" customWidth="1"/>
    <col min="11" max="11" width="11.875" style="0" customWidth="1"/>
    <col min="12" max="12" width="12.375" style="0" customWidth="1"/>
    <col min="13" max="13" width="11.625" style="0" bestFit="1" customWidth="1"/>
    <col min="14" max="14" width="12.75390625" style="0" customWidth="1"/>
  </cols>
  <sheetData>
    <row r="1" spans="3:10" s="83" customFormat="1" ht="15.75" customHeight="1">
      <c r="C1" s="171"/>
      <c r="J1" s="172" t="s">
        <v>281</v>
      </c>
    </row>
    <row r="2" spans="3:10" s="83" customFormat="1" ht="15.75" customHeight="1">
      <c r="C2" s="171"/>
      <c r="J2" s="81" t="s">
        <v>538</v>
      </c>
    </row>
    <row r="3" spans="3:10" s="83" customFormat="1" ht="15.75" customHeight="1">
      <c r="C3" s="173" t="s">
        <v>282</v>
      </c>
      <c r="J3" s="81" t="s">
        <v>179</v>
      </c>
    </row>
    <row r="4" spans="3:10" s="83" customFormat="1" ht="15.75" customHeight="1">
      <c r="C4" s="171"/>
      <c r="J4" s="81" t="s">
        <v>361</v>
      </c>
    </row>
    <row r="5" spans="2:12" s="83" customFormat="1" ht="14.25" customHeight="1" thickBot="1">
      <c r="B5" s="84"/>
      <c r="C5" s="171"/>
      <c r="K5" s="174"/>
      <c r="L5" s="175" t="s">
        <v>245</v>
      </c>
    </row>
    <row r="6" spans="1:12" s="83" customFormat="1" ht="42" customHeight="1" thickBot="1" thickTop="1">
      <c r="A6" s="176"/>
      <c r="B6" s="176"/>
      <c r="C6" s="177"/>
      <c r="D6" s="777" t="s">
        <v>380</v>
      </c>
      <c r="E6" s="178" t="s">
        <v>224</v>
      </c>
      <c r="F6" s="179"/>
      <c r="G6" s="179"/>
      <c r="H6" s="180"/>
      <c r="I6" s="181" t="s">
        <v>242</v>
      </c>
      <c r="J6" s="178" t="s">
        <v>224</v>
      </c>
      <c r="K6" s="182"/>
      <c r="L6" s="183"/>
    </row>
    <row r="7" spans="1:12" s="83" customFormat="1" ht="74.25" customHeight="1" thickBot="1" thickTop="1">
      <c r="A7" s="184" t="s">
        <v>283</v>
      </c>
      <c r="B7" s="185" t="s">
        <v>284</v>
      </c>
      <c r="C7" s="185" t="s">
        <v>285</v>
      </c>
      <c r="D7" s="779"/>
      <c r="E7" s="186" t="s">
        <v>286</v>
      </c>
      <c r="F7" s="186" t="s">
        <v>527</v>
      </c>
      <c r="G7" s="186" t="s">
        <v>287</v>
      </c>
      <c r="H7" s="187" t="s">
        <v>288</v>
      </c>
      <c r="I7" s="185" t="s">
        <v>289</v>
      </c>
      <c r="J7" s="186" t="s">
        <v>286</v>
      </c>
      <c r="K7" s="186" t="s">
        <v>527</v>
      </c>
      <c r="L7" s="186" t="s">
        <v>287</v>
      </c>
    </row>
    <row r="8" spans="1:12" s="191" customFormat="1" ht="15" customHeight="1" thickBot="1" thickTop="1">
      <c r="A8" s="188">
        <v>1</v>
      </c>
      <c r="B8" s="188">
        <v>2</v>
      </c>
      <c r="C8" s="189">
        <v>3</v>
      </c>
      <c r="D8" s="188">
        <v>4</v>
      </c>
      <c r="E8" s="188">
        <v>5</v>
      </c>
      <c r="F8" s="190">
        <v>6</v>
      </c>
      <c r="G8" s="188">
        <v>7</v>
      </c>
      <c r="H8" s="188">
        <v>8</v>
      </c>
      <c r="I8" s="188">
        <v>9</v>
      </c>
      <c r="J8" s="188">
        <v>10</v>
      </c>
      <c r="K8" s="190">
        <v>11</v>
      </c>
      <c r="L8" s="190">
        <v>12</v>
      </c>
    </row>
    <row r="9" spans="1:14" s="198" customFormat="1" ht="26.25" customHeight="1" thickBot="1" thickTop="1">
      <c r="A9" s="192"/>
      <c r="B9" s="192"/>
      <c r="C9" s="193" t="s">
        <v>290</v>
      </c>
      <c r="D9" s="194">
        <v>53780000</v>
      </c>
      <c r="E9" s="194">
        <v>20519000</v>
      </c>
      <c r="F9" s="194">
        <v>32450000</v>
      </c>
      <c r="G9" s="194">
        <v>811000</v>
      </c>
      <c r="H9" s="195">
        <f>H11+H35</f>
        <v>-2097</v>
      </c>
      <c r="I9" s="196">
        <f>D9+H9</f>
        <v>53777903</v>
      </c>
      <c r="J9" s="194">
        <f>E9+H12+H15+H25+H28+H31+H22</f>
        <v>20516903</v>
      </c>
      <c r="K9" s="194">
        <f>F9</f>
        <v>32450000</v>
      </c>
      <c r="L9" s="194">
        <f>G9+H35</f>
        <v>811000</v>
      </c>
      <c r="M9" s="197">
        <f>I9-D9</f>
        <v>-2097</v>
      </c>
      <c r="N9" s="197">
        <f>SUM(J9:L9)</f>
        <v>53777903</v>
      </c>
    </row>
    <row r="10" spans="1:12" s="205" customFormat="1" ht="11.25" customHeight="1">
      <c r="A10" s="199"/>
      <c r="B10" s="199"/>
      <c r="C10" s="200" t="s">
        <v>224</v>
      </c>
      <c r="D10" s="201"/>
      <c r="E10" s="201"/>
      <c r="F10" s="201"/>
      <c r="G10" s="202"/>
      <c r="H10" s="203"/>
      <c r="I10" s="204"/>
      <c r="J10" s="201"/>
      <c r="K10" s="201"/>
      <c r="L10" s="201"/>
    </row>
    <row r="11" spans="1:14" ht="27" customHeight="1" thickBot="1">
      <c r="A11" s="206"/>
      <c r="B11" s="206"/>
      <c r="C11" s="169" t="s">
        <v>261</v>
      </c>
      <c r="D11" s="147">
        <v>53490000</v>
      </c>
      <c r="E11" s="147">
        <v>20384000</v>
      </c>
      <c r="F11" s="147">
        <v>32450000</v>
      </c>
      <c r="G11" s="147">
        <v>656000</v>
      </c>
      <c r="H11" s="207">
        <f>H12+H15+H22+H25+H28+H31</f>
        <v>-2097</v>
      </c>
      <c r="I11" s="208">
        <f>D11+H11</f>
        <v>53487903</v>
      </c>
      <c r="J11" s="147">
        <f>E11+H12+H15+H25+H28+H31+H22</f>
        <v>20381903</v>
      </c>
      <c r="K11" s="147">
        <f>F11</f>
        <v>32450000</v>
      </c>
      <c r="L11" s="147">
        <f>G11</f>
        <v>656000</v>
      </c>
      <c r="M11" s="82">
        <f>SUM(J11:L11)</f>
        <v>53487903</v>
      </c>
      <c r="N11" s="82"/>
    </row>
    <row r="12" spans="1:12" s="84" customFormat="1" ht="27" customHeight="1" thickTop="1">
      <c r="A12" s="209">
        <v>754</v>
      </c>
      <c r="B12" s="209"/>
      <c r="C12" s="248" t="s">
        <v>314</v>
      </c>
      <c r="D12" s="73">
        <v>650000</v>
      </c>
      <c r="E12" s="73">
        <v>650000</v>
      </c>
      <c r="F12" s="73"/>
      <c r="G12" s="211"/>
      <c r="H12" s="212">
        <f>H13</f>
        <v>12000</v>
      </c>
      <c r="I12" s="213">
        <f>SUM(J12:L12)</f>
        <v>662000</v>
      </c>
      <c r="J12" s="73">
        <f>650000+H12</f>
        <v>662000</v>
      </c>
      <c r="K12" s="214"/>
      <c r="L12" s="73"/>
    </row>
    <row r="13" spans="1:14" s="84" customFormat="1" ht="21" customHeight="1">
      <c r="A13" s="215"/>
      <c r="B13" s="216">
        <v>75416</v>
      </c>
      <c r="C13" s="71" t="s">
        <v>164</v>
      </c>
      <c r="D13" s="77"/>
      <c r="E13" s="77"/>
      <c r="F13" s="77"/>
      <c r="G13" s="217"/>
      <c r="H13" s="218">
        <f>H14</f>
        <v>12000</v>
      </c>
      <c r="I13" s="219">
        <f>SUM(J13:L13)</f>
        <v>12000</v>
      </c>
      <c r="J13" s="77">
        <f>H13</f>
        <v>12000</v>
      </c>
      <c r="K13" s="220"/>
      <c r="L13" s="77"/>
      <c r="N13" s="221"/>
    </row>
    <row r="14" spans="1:12" s="83" customFormat="1" ht="21" customHeight="1">
      <c r="A14" s="64"/>
      <c r="B14" s="236"/>
      <c r="C14" s="230" t="s">
        <v>295</v>
      </c>
      <c r="D14" s="231"/>
      <c r="E14" s="231"/>
      <c r="F14" s="231"/>
      <c r="G14" s="232"/>
      <c r="H14" s="233">
        <v>12000</v>
      </c>
      <c r="I14" s="234">
        <f>SUM(J14:L14)</f>
        <v>12000</v>
      </c>
      <c r="J14" s="231">
        <f>H14</f>
        <v>12000</v>
      </c>
      <c r="K14" s="235"/>
      <c r="L14" s="231"/>
    </row>
    <row r="15" spans="1:12" s="84" customFormat="1" ht="21" customHeight="1">
      <c r="A15" s="209">
        <v>801</v>
      </c>
      <c r="B15" s="209"/>
      <c r="C15" s="210" t="s">
        <v>226</v>
      </c>
      <c r="D15" s="73">
        <v>7462000</v>
      </c>
      <c r="E15" s="73">
        <v>6462000</v>
      </c>
      <c r="F15" s="73">
        <v>1000000</v>
      </c>
      <c r="G15" s="211"/>
      <c r="H15" s="212">
        <f>H16+H20</f>
        <v>-11197</v>
      </c>
      <c r="I15" s="213">
        <f>SUM(J15:L15)</f>
        <v>7450803</v>
      </c>
      <c r="J15" s="73">
        <f>6462000+H15</f>
        <v>6450803</v>
      </c>
      <c r="K15" s="214">
        <v>1000000</v>
      </c>
      <c r="L15" s="73"/>
    </row>
    <row r="16" spans="1:14" s="84" customFormat="1" ht="21" customHeight="1">
      <c r="A16" s="215"/>
      <c r="B16" s="216">
        <v>80101</v>
      </c>
      <c r="C16" s="77" t="s">
        <v>227</v>
      </c>
      <c r="D16" s="77">
        <v>3362000</v>
      </c>
      <c r="E16" s="77">
        <v>3362000</v>
      </c>
      <c r="F16" s="77"/>
      <c r="G16" s="217"/>
      <c r="H16" s="218">
        <f>H17+H18+H19</f>
        <v>6306</v>
      </c>
      <c r="I16" s="219">
        <f>D16+H16</f>
        <v>3368306</v>
      </c>
      <c r="J16" s="77">
        <f>3362000+H16</f>
        <v>3368306</v>
      </c>
      <c r="K16" s="220"/>
      <c r="L16" s="77"/>
      <c r="N16" s="221"/>
    </row>
    <row r="17" spans="1:14" s="83" customFormat="1" ht="21" customHeight="1">
      <c r="A17" s="64"/>
      <c r="B17" s="609"/>
      <c r="C17" s="86" t="s">
        <v>435</v>
      </c>
      <c r="D17" s="86">
        <v>2000000</v>
      </c>
      <c r="E17" s="86">
        <v>2000000</v>
      </c>
      <c r="F17" s="86"/>
      <c r="G17" s="610"/>
      <c r="H17" s="611">
        <v>-500000</v>
      </c>
      <c r="I17" s="612">
        <f>J17</f>
        <v>1500000</v>
      </c>
      <c r="J17" s="86">
        <f>E17+H17</f>
        <v>1500000</v>
      </c>
      <c r="K17" s="613"/>
      <c r="L17" s="86"/>
      <c r="N17" s="93"/>
    </row>
    <row r="18" spans="1:14" s="83" customFormat="1" ht="21" customHeight="1">
      <c r="A18" s="64"/>
      <c r="B18" s="609"/>
      <c r="C18" s="237" t="s">
        <v>436</v>
      </c>
      <c r="D18" s="237">
        <v>500000</v>
      </c>
      <c r="E18" s="237">
        <v>500000</v>
      </c>
      <c r="F18" s="237"/>
      <c r="G18" s="614"/>
      <c r="H18" s="615">
        <v>500000</v>
      </c>
      <c r="I18" s="616">
        <f>J18</f>
        <v>1000000</v>
      </c>
      <c r="J18" s="237">
        <f>E18+H18</f>
        <v>1000000</v>
      </c>
      <c r="K18" s="617"/>
      <c r="L18" s="237"/>
      <c r="N18" s="93"/>
    </row>
    <row r="19" spans="1:12" s="83" customFormat="1" ht="21" customHeight="1">
      <c r="A19" s="64"/>
      <c r="B19" s="236"/>
      <c r="C19" s="230" t="s">
        <v>295</v>
      </c>
      <c r="D19" s="231"/>
      <c r="E19" s="231"/>
      <c r="F19" s="231"/>
      <c r="G19" s="232"/>
      <c r="H19" s="233">
        <v>6306</v>
      </c>
      <c r="I19" s="234">
        <f>D19+H19</f>
        <v>6306</v>
      </c>
      <c r="J19" s="231">
        <f>H19</f>
        <v>6306</v>
      </c>
      <c r="K19" s="235"/>
      <c r="L19" s="231"/>
    </row>
    <row r="20" spans="1:12" s="84" customFormat="1" ht="23.25" customHeight="1">
      <c r="A20" s="70"/>
      <c r="B20" s="239">
        <v>80110</v>
      </c>
      <c r="C20" s="44" t="s">
        <v>297</v>
      </c>
      <c r="D20" s="240">
        <v>2900000</v>
      </c>
      <c r="E20" s="240">
        <v>2900000</v>
      </c>
      <c r="F20" s="240"/>
      <c r="G20" s="241"/>
      <c r="H20" s="242">
        <f>H21</f>
        <v>-17503</v>
      </c>
      <c r="I20" s="243">
        <f>D20+H20</f>
        <v>2882497</v>
      </c>
      <c r="J20" s="240">
        <f>2900000+H20</f>
        <v>2882497</v>
      </c>
      <c r="K20" s="244"/>
      <c r="L20" s="240"/>
    </row>
    <row r="21" spans="1:12" s="83" customFormat="1" ht="21" customHeight="1">
      <c r="A21" s="64"/>
      <c r="B21" s="238"/>
      <c r="C21" s="486" t="s">
        <v>296</v>
      </c>
      <c r="D21" s="222">
        <v>600000</v>
      </c>
      <c r="E21" s="222">
        <v>600000</v>
      </c>
      <c r="F21" s="222"/>
      <c r="G21" s="223"/>
      <c r="H21" s="224">
        <v>-17503</v>
      </c>
      <c r="I21" s="519">
        <f>D21+H21</f>
        <v>582497</v>
      </c>
      <c r="J21" s="222">
        <f>600000+H21</f>
        <v>582497</v>
      </c>
      <c r="K21" s="225"/>
      <c r="L21" s="222"/>
    </row>
    <row r="22" spans="1:12" s="84" customFormat="1" ht="21" customHeight="1">
      <c r="A22" s="209">
        <v>851</v>
      </c>
      <c r="B22" s="209"/>
      <c r="C22" s="210" t="s">
        <v>228</v>
      </c>
      <c r="D22" s="210">
        <v>300000</v>
      </c>
      <c r="E22" s="210">
        <v>300000</v>
      </c>
      <c r="F22" s="210"/>
      <c r="G22" s="226"/>
      <c r="H22" s="227">
        <f>H23</f>
        <v>11000</v>
      </c>
      <c r="I22" s="228">
        <f>D22+H22</f>
        <v>311000</v>
      </c>
      <c r="J22" s="210">
        <f>300000+H22</f>
        <v>311000</v>
      </c>
      <c r="K22" s="229"/>
      <c r="L22" s="210"/>
    </row>
    <row r="23" spans="1:14" s="84" customFormat="1" ht="21" customHeight="1">
      <c r="A23" s="70"/>
      <c r="B23" s="216">
        <v>85154</v>
      </c>
      <c r="C23" s="77" t="s">
        <v>246</v>
      </c>
      <c r="D23" s="77"/>
      <c r="E23" s="77"/>
      <c r="F23" s="77"/>
      <c r="G23" s="217"/>
      <c r="H23" s="218">
        <f>H24</f>
        <v>11000</v>
      </c>
      <c r="I23" s="219">
        <f>SUM(J23:L23)</f>
        <v>11000</v>
      </c>
      <c r="J23" s="77">
        <f>H23</f>
        <v>11000</v>
      </c>
      <c r="K23" s="220"/>
      <c r="L23" s="77"/>
      <c r="N23" s="221"/>
    </row>
    <row r="24" spans="1:14" s="83" customFormat="1" ht="21" customHeight="1">
      <c r="A24" s="64"/>
      <c r="B24" s="238"/>
      <c r="C24" s="222" t="s">
        <v>295</v>
      </c>
      <c r="D24" s="222"/>
      <c r="E24" s="222"/>
      <c r="F24" s="222"/>
      <c r="G24" s="223"/>
      <c r="H24" s="224">
        <v>11000</v>
      </c>
      <c r="I24" s="510">
        <f>SUM(J24:L24)</f>
        <v>11000</v>
      </c>
      <c r="J24" s="222">
        <f>H24</f>
        <v>11000</v>
      </c>
      <c r="K24" s="225"/>
      <c r="L24" s="222"/>
      <c r="N24" s="93"/>
    </row>
    <row r="25" spans="1:12" s="84" customFormat="1" ht="21" customHeight="1">
      <c r="A25" s="209">
        <v>853</v>
      </c>
      <c r="B25" s="209"/>
      <c r="C25" s="210" t="s">
        <v>229</v>
      </c>
      <c r="D25" s="210">
        <v>1220000</v>
      </c>
      <c r="E25" s="210">
        <v>1220000</v>
      </c>
      <c r="F25" s="210"/>
      <c r="G25" s="226"/>
      <c r="H25" s="227">
        <f>H26</f>
        <v>6000</v>
      </c>
      <c r="I25" s="228">
        <f>D25+H25</f>
        <v>1226000</v>
      </c>
      <c r="J25" s="210">
        <f>1220000+H25</f>
        <v>1226000</v>
      </c>
      <c r="K25" s="229"/>
      <c r="L25" s="210"/>
    </row>
    <row r="26" spans="1:14" s="84" customFormat="1" ht="21" customHeight="1">
      <c r="A26" s="70"/>
      <c r="B26" s="216">
        <v>85302</v>
      </c>
      <c r="C26" s="77" t="s">
        <v>299</v>
      </c>
      <c r="D26" s="77">
        <v>1120000</v>
      </c>
      <c r="E26" s="77">
        <v>1120000</v>
      </c>
      <c r="F26" s="77"/>
      <c r="G26" s="217"/>
      <c r="H26" s="218">
        <f>H27</f>
        <v>6000</v>
      </c>
      <c r="I26" s="219">
        <f>SUM(J26:L26)</f>
        <v>1126000</v>
      </c>
      <c r="J26" s="77">
        <f>1120000+H26</f>
        <v>1126000</v>
      </c>
      <c r="K26" s="220"/>
      <c r="L26" s="77"/>
      <c r="N26" s="221"/>
    </row>
    <row r="27" spans="1:14" s="83" customFormat="1" ht="21" customHeight="1">
      <c r="A27" s="85"/>
      <c r="B27" s="714"/>
      <c r="C27" s="258" t="s">
        <v>295</v>
      </c>
      <c r="D27" s="258"/>
      <c r="E27" s="258"/>
      <c r="F27" s="258"/>
      <c r="G27" s="715"/>
      <c r="H27" s="716">
        <v>6000</v>
      </c>
      <c r="I27" s="717">
        <f>SUM(J27:L27)</f>
        <v>6000</v>
      </c>
      <c r="J27" s="258">
        <f>H27</f>
        <v>6000</v>
      </c>
      <c r="K27" s="718"/>
      <c r="L27" s="258"/>
      <c r="N27" s="93"/>
    </row>
    <row r="28" spans="1:12" s="84" customFormat="1" ht="23.25" customHeight="1">
      <c r="A28" s="209">
        <v>900</v>
      </c>
      <c r="B28" s="209"/>
      <c r="C28" s="248" t="s">
        <v>235</v>
      </c>
      <c r="D28" s="210">
        <v>7091000</v>
      </c>
      <c r="E28" s="210">
        <v>4785000</v>
      </c>
      <c r="F28" s="210">
        <v>1650000</v>
      </c>
      <c r="G28" s="226">
        <v>656000</v>
      </c>
      <c r="H28" s="227">
        <f>H29</f>
        <v>5100</v>
      </c>
      <c r="I28" s="228">
        <f>D28+H28</f>
        <v>7096100</v>
      </c>
      <c r="J28" s="210">
        <f>4785000+H28</f>
        <v>4790100</v>
      </c>
      <c r="K28" s="229">
        <v>1650000</v>
      </c>
      <c r="L28" s="210">
        <v>656000</v>
      </c>
    </row>
    <row r="29" spans="1:12" s="89" customFormat="1" ht="21" customHeight="1">
      <c r="A29" s="249"/>
      <c r="B29" s="250">
        <v>90015</v>
      </c>
      <c r="C29" s="71" t="s">
        <v>236</v>
      </c>
      <c r="D29" s="251"/>
      <c r="E29" s="251"/>
      <c r="F29" s="251"/>
      <c r="G29" s="252"/>
      <c r="H29" s="253">
        <f>H30</f>
        <v>5100</v>
      </c>
      <c r="I29" s="219">
        <f aca="true" t="shared" si="0" ref="I29:I35">D29+H29</f>
        <v>5100</v>
      </c>
      <c r="J29" s="77">
        <v>5100</v>
      </c>
      <c r="K29" s="255"/>
      <c r="L29" s="251"/>
    </row>
    <row r="30" spans="1:12" s="257" customFormat="1" ht="21" customHeight="1">
      <c r="A30" s="472"/>
      <c r="B30" s="472"/>
      <c r="C30" s="618" t="s">
        <v>528</v>
      </c>
      <c r="D30" s="573"/>
      <c r="E30" s="573"/>
      <c r="F30" s="573"/>
      <c r="G30" s="574"/>
      <c r="H30" s="575">
        <v>5100</v>
      </c>
      <c r="I30" s="619">
        <f>D30+H30</f>
        <v>5100</v>
      </c>
      <c r="J30" s="573">
        <f>H30</f>
        <v>5100</v>
      </c>
      <c r="K30" s="576"/>
      <c r="L30" s="573"/>
    </row>
    <row r="31" spans="1:12" s="84" customFormat="1" ht="21" customHeight="1">
      <c r="A31" s="209">
        <v>921</v>
      </c>
      <c r="B31" s="209"/>
      <c r="C31" s="67" t="s">
        <v>357</v>
      </c>
      <c r="D31" s="210">
        <v>2068000</v>
      </c>
      <c r="E31" s="210">
        <v>2068000</v>
      </c>
      <c r="F31" s="210"/>
      <c r="G31" s="226"/>
      <c r="H31" s="227">
        <f>H32</f>
        <v>-25000</v>
      </c>
      <c r="I31" s="228">
        <f t="shared" si="0"/>
        <v>2043000</v>
      </c>
      <c r="J31" s="210">
        <f>2068000+H31</f>
        <v>2043000</v>
      </c>
      <c r="K31" s="229"/>
      <c r="L31" s="210"/>
    </row>
    <row r="32" spans="1:12" s="89" customFormat="1" ht="19.5" customHeight="1">
      <c r="A32" s="487"/>
      <c r="B32" s="250">
        <v>92110</v>
      </c>
      <c r="C32" s="71" t="s">
        <v>374</v>
      </c>
      <c r="D32" s="251">
        <v>30000</v>
      </c>
      <c r="E32" s="251">
        <v>30000</v>
      </c>
      <c r="F32" s="251"/>
      <c r="G32" s="252"/>
      <c r="H32" s="253">
        <f>H33</f>
        <v>-25000</v>
      </c>
      <c r="I32" s="254">
        <f t="shared" si="0"/>
        <v>5000</v>
      </c>
      <c r="J32" s="251">
        <f>30000+H32</f>
        <v>5000</v>
      </c>
      <c r="K32" s="255"/>
      <c r="L32" s="251"/>
    </row>
    <row r="33" spans="1:12" s="257" customFormat="1" ht="19.5" customHeight="1">
      <c r="A33" s="256"/>
      <c r="B33" s="256"/>
      <c r="C33" s="245" t="s">
        <v>266</v>
      </c>
      <c r="D33" s="573">
        <v>30000</v>
      </c>
      <c r="E33" s="573">
        <v>30000</v>
      </c>
      <c r="F33" s="573"/>
      <c r="G33" s="574"/>
      <c r="H33" s="575">
        <v>-25000</v>
      </c>
      <c r="I33" s="490">
        <f>D33+H33</f>
        <v>5000</v>
      </c>
      <c r="J33" s="573">
        <f>30000+H33</f>
        <v>5000</v>
      </c>
      <c r="K33" s="576"/>
      <c r="L33" s="573"/>
    </row>
    <row r="34" spans="1:12" ht="31.5" customHeight="1" thickBot="1">
      <c r="A34" s="471"/>
      <c r="B34" s="471"/>
      <c r="C34" s="169" t="s">
        <v>219</v>
      </c>
      <c r="D34" s="147">
        <v>135000</v>
      </c>
      <c r="E34" s="147">
        <v>135000</v>
      </c>
      <c r="F34" s="147"/>
      <c r="G34" s="572"/>
      <c r="H34" s="207"/>
      <c r="I34" s="208">
        <f>D34+H34</f>
        <v>135000</v>
      </c>
      <c r="J34" s="147">
        <v>135000</v>
      </c>
      <c r="K34" s="147"/>
      <c r="L34" s="147"/>
    </row>
    <row r="35" spans="1:12" ht="22.5" customHeight="1" thickTop="1">
      <c r="A35" s="206"/>
      <c r="B35" s="206"/>
      <c r="C35" s="666" t="s">
        <v>220</v>
      </c>
      <c r="D35" s="667">
        <v>155000</v>
      </c>
      <c r="E35" s="667"/>
      <c r="F35" s="667"/>
      <c r="G35" s="719">
        <v>155000</v>
      </c>
      <c r="H35" s="720"/>
      <c r="I35" s="721">
        <f t="shared" si="0"/>
        <v>155000</v>
      </c>
      <c r="J35" s="667"/>
      <c r="K35" s="667"/>
      <c r="L35" s="667">
        <v>155000</v>
      </c>
    </row>
  </sheetData>
  <mergeCells count="1">
    <mergeCell ref="D6:D7"/>
  </mergeCells>
  <printOptions horizontalCentered="1"/>
  <pageMargins left="0.5905511811023623" right="0.5905511811023623" top="0.5905511811023623" bottom="0.7874015748031497" header="0.5118110236220472" footer="0.5118110236220472"/>
  <pageSetup firstPageNumber="8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I42"/>
  <sheetViews>
    <sheetView zoomScale="75" zoomScaleNormal="75" workbookViewId="0" topLeftCell="A8">
      <pane ySplit="1215" topLeftCell="BM1" activePane="bottomLeft" state="split"/>
      <selection pane="topLeft" activeCell="E8" sqref="E1:E16384"/>
      <selection pane="bottomLeft" activeCell="D11" sqref="D11"/>
    </sheetView>
  </sheetViews>
  <sheetFormatPr defaultColWidth="9.00390625" defaultRowHeight="12.75"/>
  <cols>
    <col min="1" max="1" width="8.625" style="83" customWidth="1"/>
    <col min="2" max="2" width="10.625" style="83" customWidth="1"/>
    <col min="3" max="3" width="65.375" style="83" customWidth="1"/>
    <col min="4" max="4" width="25.75390625" style="83" customWidth="1"/>
    <col min="5" max="5" width="15.25390625" style="83" hidden="1" customWidth="1"/>
    <col min="6" max="6" width="18.75390625" style="83" customWidth="1"/>
    <col min="7" max="7" width="21.00390625" style="83" customWidth="1"/>
    <col min="8" max="8" width="11.375" style="83" customWidth="1"/>
    <col min="9" max="9" width="9.125" style="83" customWidth="1"/>
    <col min="10" max="16384" width="7.875" style="83" customWidth="1"/>
  </cols>
  <sheetData>
    <row r="1" spans="5:7" ht="13.5" customHeight="1">
      <c r="E1" s="2"/>
      <c r="F1" s="2" t="s">
        <v>302</v>
      </c>
      <c r="G1" s="2"/>
    </row>
    <row r="2" ht="13.5" customHeight="1">
      <c r="F2" s="81" t="s">
        <v>538</v>
      </c>
    </row>
    <row r="3" spans="3:7" ht="15" customHeight="1">
      <c r="C3" s="94" t="s">
        <v>303</v>
      </c>
      <c r="E3" s="2"/>
      <c r="F3" s="81" t="s">
        <v>179</v>
      </c>
      <c r="G3" s="2"/>
    </row>
    <row r="4" spans="5:7" ht="14.25" customHeight="1">
      <c r="E4" s="2"/>
      <c r="F4" s="81" t="s">
        <v>361</v>
      </c>
      <c r="G4" s="2"/>
    </row>
    <row r="5" ht="15" customHeight="1"/>
    <row r="6" spans="4:7" ht="12.75" customHeight="1" thickBot="1">
      <c r="D6" s="260"/>
      <c r="E6" s="260"/>
      <c r="F6" s="260"/>
      <c r="G6" s="260" t="s">
        <v>245</v>
      </c>
    </row>
    <row r="7" spans="1:7" ht="10.5" customHeight="1" thickTop="1">
      <c r="A7" s="96"/>
      <c r="B7" s="96"/>
      <c r="C7" s="96"/>
      <c r="D7" s="777" t="s">
        <v>381</v>
      </c>
      <c r="E7" s="261"/>
      <c r="F7" s="261"/>
      <c r="G7" s="261"/>
    </row>
    <row r="8" spans="1:7" ht="58.5" customHeight="1" thickBot="1">
      <c r="A8" s="87" t="s">
        <v>241</v>
      </c>
      <c r="B8" s="87" t="s">
        <v>258</v>
      </c>
      <c r="C8" s="1" t="s">
        <v>304</v>
      </c>
      <c r="D8" s="779"/>
      <c r="E8" s="262" t="s">
        <v>203</v>
      </c>
      <c r="F8" s="262" t="s">
        <v>288</v>
      </c>
      <c r="G8" s="262" t="s">
        <v>305</v>
      </c>
    </row>
    <row r="9" spans="1:7" ht="16.5" customHeight="1" thickBot="1" thickTop="1">
      <c r="A9" s="263">
        <v>1</v>
      </c>
      <c r="B9" s="263">
        <v>2</v>
      </c>
      <c r="C9" s="263">
        <v>3</v>
      </c>
      <c r="D9" s="105">
        <v>4</v>
      </c>
      <c r="E9" s="105">
        <v>5</v>
      </c>
      <c r="F9" s="105">
        <v>5</v>
      </c>
      <c r="G9" s="105">
        <v>6</v>
      </c>
    </row>
    <row r="10" spans="1:9" ht="20.25" customHeight="1" thickBot="1" thickTop="1">
      <c r="A10" s="264"/>
      <c r="B10" s="264"/>
      <c r="C10" s="265" t="s">
        <v>306</v>
      </c>
      <c r="D10" s="266">
        <v>9558000</v>
      </c>
      <c r="E10" s="266"/>
      <c r="F10" s="266">
        <f>F12</f>
        <v>391903</v>
      </c>
      <c r="G10" s="266">
        <f>D10-E10+F10</f>
        <v>9949903</v>
      </c>
      <c r="H10" s="93">
        <f>F10-E10</f>
        <v>391903</v>
      </c>
      <c r="I10" s="93"/>
    </row>
    <row r="11" spans="1:7" ht="15" customHeight="1" thickTop="1">
      <c r="A11" s="64"/>
      <c r="B11" s="64"/>
      <c r="C11" s="267" t="s">
        <v>224</v>
      </c>
      <c r="D11" s="268"/>
      <c r="E11" s="268"/>
      <c r="F11" s="268"/>
      <c r="G11" s="268"/>
    </row>
    <row r="12" spans="1:7" s="118" customFormat="1" ht="15" customHeight="1" thickBot="1">
      <c r="A12" s="63"/>
      <c r="B12" s="63"/>
      <c r="C12" s="269" t="s">
        <v>307</v>
      </c>
      <c r="D12" s="270">
        <v>9425000</v>
      </c>
      <c r="E12" s="270"/>
      <c r="F12" s="270">
        <f>F13+F25+F28+F31+F34+F39</f>
        <v>391903</v>
      </c>
      <c r="G12" s="270">
        <f aca="true" t="shared" si="0" ref="G12:G42">D12-E12+F12</f>
        <v>9816903</v>
      </c>
    </row>
    <row r="13" spans="1:7" s="118" customFormat="1" ht="19.5" customHeight="1" thickTop="1">
      <c r="A13" s="16">
        <v>700</v>
      </c>
      <c r="B13" s="271"/>
      <c r="C13" s="272" t="s">
        <v>308</v>
      </c>
      <c r="D13" s="43">
        <v>4900000</v>
      </c>
      <c r="E13" s="43"/>
      <c r="F13" s="43">
        <f>F23</f>
        <v>95000</v>
      </c>
      <c r="G13" s="43">
        <f t="shared" si="0"/>
        <v>4995000</v>
      </c>
    </row>
    <row r="14" spans="1:7" s="118" customFormat="1" ht="19.5" customHeight="1">
      <c r="A14" s="697"/>
      <c r="B14" s="699">
        <v>70001</v>
      </c>
      <c r="C14" s="71" t="s">
        <v>521</v>
      </c>
      <c r="D14" s="77">
        <v>4900000</v>
      </c>
      <c r="E14" s="77"/>
      <c r="F14" s="77">
        <f>F15</f>
        <v>0</v>
      </c>
      <c r="G14" s="700">
        <f t="shared" si="0"/>
        <v>4900000</v>
      </c>
    </row>
    <row r="15" spans="1:7" s="118" customFormat="1" ht="19.5" customHeight="1">
      <c r="A15" s="697"/>
      <c r="B15" s="698"/>
      <c r="C15" s="679" t="s">
        <v>523</v>
      </c>
      <c r="D15" s="231">
        <v>2420000</v>
      </c>
      <c r="E15" s="231"/>
      <c r="F15" s="231">
        <f>F16</f>
        <v>0</v>
      </c>
      <c r="G15" s="702">
        <f t="shared" si="0"/>
        <v>2420000</v>
      </c>
    </row>
    <row r="16" spans="1:7" s="118" customFormat="1" ht="19.5" customHeight="1">
      <c r="A16" s="697"/>
      <c r="B16" s="698"/>
      <c r="C16" s="680" t="s">
        <v>524</v>
      </c>
      <c r="D16" s="690">
        <v>2265000</v>
      </c>
      <c r="E16" s="690"/>
      <c r="F16" s="690">
        <f>F17+F18</f>
        <v>0</v>
      </c>
      <c r="G16" s="712">
        <f t="shared" si="0"/>
        <v>2265000</v>
      </c>
    </row>
    <row r="17" spans="1:7" s="118" customFormat="1" ht="19.5" customHeight="1">
      <c r="A17" s="697"/>
      <c r="B17" s="698"/>
      <c r="C17" s="499" t="s">
        <v>525</v>
      </c>
      <c r="D17" s="92">
        <v>1785000</v>
      </c>
      <c r="E17" s="92"/>
      <c r="F17" s="92">
        <v>-100000</v>
      </c>
      <c r="G17" s="701">
        <f>D17-E17+F17</f>
        <v>1685000</v>
      </c>
    </row>
    <row r="18" spans="1:7" s="118" customFormat="1" ht="19.5" customHeight="1">
      <c r="A18" s="697"/>
      <c r="B18" s="698"/>
      <c r="C18" s="499" t="s">
        <v>526</v>
      </c>
      <c r="D18" s="92">
        <v>480000</v>
      </c>
      <c r="E18" s="92"/>
      <c r="F18" s="92">
        <v>100000</v>
      </c>
      <c r="G18" s="703">
        <f>D18-E18+F18</f>
        <v>580000</v>
      </c>
    </row>
    <row r="19" spans="1:7" s="118" customFormat="1" ht="19.5" customHeight="1">
      <c r="A19" s="697"/>
      <c r="B19" s="698"/>
      <c r="C19" s="681" t="s">
        <v>41</v>
      </c>
      <c r="D19" s="231">
        <v>390000</v>
      </c>
      <c r="E19" s="231"/>
      <c r="F19" s="231">
        <f>F20</f>
        <v>0</v>
      </c>
      <c r="G19" s="704">
        <f t="shared" si="0"/>
        <v>390000</v>
      </c>
    </row>
    <row r="20" spans="1:7" s="118" customFormat="1" ht="19.5" customHeight="1">
      <c r="A20" s="697"/>
      <c r="B20" s="698"/>
      <c r="C20" s="680" t="s">
        <v>524</v>
      </c>
      <c r="D20" s="690">
        <v>320000</v>
      </c>
      <c r="E20" s="690"/>
      <c r="F20" s="690">
        <f>F21+F22</f>
        <v>0</v>
      </c>
      <c r="G20" s="713">
        <f t="shared" si="0"/>
        <v>320000</v>
      </c>
    </row>
    <row r="21" spans="1:7" s="118" customFormat="1" ht="19.5" customHeight="1">
      <c r="A21" s="697"/>
      <c r="B21" s="698"/>
      <c r="C21" s="137" t="s">
        <v>525</v>
      </c>
      <c r="D21" s="138">
        <v>230000</v>
      </c>
      <c r="E21" s="138"/>
      <c r="F21" s="138">
        <v>-100000</v>
      </c>
      <c r="G21" s="705">
        <f t="shared" si="0"/>
        <v>130000</v>
      </c>
    </row>
    <row r="22" spans="1:7" s="118" customFormat="1" ht="19.5" customHeight="1">
      <c r="A22" s="697"/>
      <c r="B22" s="698"/>
      <c r="C22" s="682" t="s">
        <v>526</v>
      </c>
      <c r="D22" s="86">
        <v>90000</v>
      </c>
      <c r="E22" s="86"/>
      <c r="F22" s="86">
        <v>100000</v>
      </c>
      <c r="G22" s="704">
        <f t="shared" si="0"/>
        <v>190000</v>
      </c>
    </row>
    <row r="23" spans="1:7" s="118" customFormat="1" ht="19.5" customHeight="1">
      <c r="A23" s="273"/>
      <c r="B23" s="71">
        <v>70005</v>
      </c>
      <c r="C23" s="71" t="s">
        <v>322</v>
      </c>
      <c r="D23" s="44"/>
      <c r="E23" s="44"/>
      <c r="F23" s="44">
        <f>F24</f>
        <v>95000</v>
      </c>
      <c r="G23" s="44">
        <f t="shared" si="0"/>
        <v>95000</v>
      </c>
    </row>
    <row r="24" spans="1:7" s="118" customFormat="1" ht="21" customHeight="1">
      <c r="A24" s="273"/>
      <c r="B24" s="275"/>
      <c r="C24" s="531" t="s">
        <v>378</v>
      </c>
      <c r="D24" s="80"/>
      <c r="E24" s="80"/>
      <c r="F24" s="80">
        <v>95000</v>
      </c>
      <c r="G24" s="80">
        <f t="shared" si="0"/>
        <v>95000</v>
      </c>
    </row>
    <row r="25" spans="1:7" s="118" customFormat="1" ht="19.5" customHeight="1">
      <c r="A25" s="28">
        <v>801</v>
      </c>
      <c r="B25" s="271"/>
      <c r="C25" s="272" t="s">
        <v>226</v>
      </c>
      <c r="D25" s="43">
        <v>300000</v>
      </c>
      <c r="E25" s="43"/>
      <c r="F25" s="43">
        <f>F26</f>
        <v>17503</v>
      </c>
      <c r="G25" s="43">
        <f t="shared" si="0"/>
        <v>317503</v>
      </c>
    </row>
    <row r="26" spans="1:7" s="118" customFormat="1" ht="18" customHeight="1">
      <c r="A26" s="273"/>
      <c r="B26" s="62">
        <v>80110</v>
      </c>
      <c r="C26" s="274" t="s">
        <v>297</v>
      </c>
      <c r="D26" s="247">
        <v>100000</v>
      </c>
      <c r="E26" s="247"/>
      <c r="F26" s="247">
        <f>F27</f>
        <v>17503</v>
      </c>
      <c r="G26" s="247">
        <f>D26-E26+F26</f>
        <v>117503</v>
      </c>
    </row>
    <row r="27" spans="1:7" s="118" customFormat="1" ht="18" customHeight="1">
      <c r="A27" s="273"/>
      <c r="B27" s="275"/>
      <c r="C27" s="276" t="s">
        <v>309</v>
      </c>
      <c r="D27" s="80">
        <v>100000</v>
      </c>
      <c r="E27" s="80"/>
      <c r="F27" s="80">
        <v>17503</v>
      </c>
      <c r="G27" s="80">
        <f t="shared" si="0"/>
        <v>117503</v>
      </c>
    </row>
    <row r="28" spans="1:7" s="118" customFormat="1" ht="19.5" customHeight="1">
      <c r="A28" s="28">
        <v>851</v>
      </c>
      <c r="B28" s="16"/>
      <c r="C28" s="272" t="s">
        <v>228</v>
      </c>
      <c r="D28" s="278"/>
      <c r="E28" s="278"/>
      <c r="F28" s="278">
        <f>F29</f>
        <v>29500</v>
      </c>
      <c r="G28" s="43">
        <f>D28-E28+F28</f>
        <v>29500</v>
      </c>
    </row>
    <row r="29" spans="1:8" s="282" customFormat="1" ht="18" customHeight="1">
      <c r="A29" s="141"/>
      <c r="B29" s="279">
        <v>85154</v>
      </c>
      <c r="C29" s="274" t="s">
        <v>246</v>
      </c>
      <c r="D29" s="280"/>
      <c r="E29" s="46"/>
      <c r="F29" s="46">
        <f>F30</f>
        <v>29500</v>
      </c>
      <c r="G29" s="247">
        <f>D29-E29+F29</f>
        <v>29500</v>
      </c>
      <c r="H29" s="281"/>
    </row>
    <row r="30" spans="1:7" s="257" customFormat="1" ht="18" customHeight="1">
      <c r="A30" s="283"/>
      <c r="B30" s="279"/>
      <c r="C30" s="276" t="s">
        <v>529</v>
      </c>
      <c r="D30" s="284"/>
      <c r="E30" s="284"/>
      <c r="F30" s="284">
        <v>29500</v>
      </c>
      <c r="G30" s="80">
        <f>D30-E30+F30</f>
        <v>29500</v>
      </c>
    </row>
    <row r="31" spans="1:7" s="118" customFormat="1" ht="19.5" customHeight="1">
      <c r="A31" s="28">
        <v>854</v>
      </c>
      <c r="B31" s="16"/>
      <c r="C31" s="272" t="s">
        <v>238</v>
      </c>
      <c r="D31" s="278"/>
      <c r="E31" s="278"/>
      <c r="F31" s="278">
        <f>F32</f>
        <v>50000</v>
      </c>
      <c r="G31" s="43">
        <f t="shared" si="0"/>
        <v>50000</v>
      </c>
    </row>
    <row r="32" spans="1:8" s="282" customFormat="1" ht="18" customHeight="1">
      <c r="A32" s="141"/>
      <c r="B32" s="279">
        <v>85403</v>
      </c>
      <c r="C32" s="274" t="s">
        <v>338</v>
      </c>
      <c r="D32" s="280"/>
      <c r="E32" s="46"/>
      <c r="F32" s="46">
        <f>F33</f>
        <v>50000</v>
      </c>
      <c r="G32" s="247">
        <f t="shared" si="0"/>
        <v>50000</v>
      </c>
      <c r="H32" s="281"/>
    </row>
    <row r="33" spans="1:7" s="257" customFormat="1" ht="18" customHeight="1">
      <c r="A33" s="727"/>
      <c r="B33" s="279"/>
      <c r="C33" s="276" t="s">
        <v>311</v>
      </c>
      <c r="D33" s="284"/>
      <c r="E33" s="284"/>
      <c r="F33" s="284">
        <v>50000</v>
      </c>
      <c r="G33" s="80">
        <f t="shared" si="0"/>
        <v>50000</v>
      </c>
    </row>
    <row r="34" spans="1:9" s="118" customFormat="1" ht="19.5" customHeight="1">
      <c r="A34" s="28">
        <v>900</v>
      </c>
      <c r="B34" s="16"/>
      <c r="C34" s="72" t="s">
        <v>217</v>
      </c>
      <c r="D34" s="278"/>
      <c r="E34" s="278"/>
      <c r="F34" s="278">
        <f>F35+F37</f>
        <v>184900</v>
      </c>
      <c r="G34" s="43">
        <f t="shared" si="0"/>
        <v>184900</v>
      </c>
      <c r="I34" s="723"/>
    </row>
    <row r="35" spans="1:8" s="282" customFormat="1" ht="18.75" customHeight="1">
      <c r="A35" s="141"/>
      <c r="B35" s="279">
        <v>90001</v>
      </c>
      <c r="C35" s="71" t="s">
        <v>218</v>
      </c>
      <c r="D35" s="280"/>
      <c r="E35" s="46"/>
      <c r="F35" s="46">
        <f>F36</f>
        <v>150000</v>
      </c>
      <c r="G35" s="247">
        <f t="shared" si="0"/>
        <v>150000</v>
      </c>
      <c r="H35" s="281"/>
    </row>
    <row r="36" spans="1:9" s="257" customFormat="1" ht="18.75" customHeight="1">
      <c r="A36" s="283"/>
      <c r="B36" s="279"/>
      <c r="C36" s="553" t="s">
        <v>535</v>
      </c>
      <c r="D36" s="284"/>
      <c r="E36" s="284"/>
      <c r="F36" s="284">
        <v>150000</v>
      </c>
      <c r="G36" s="80">
        <f t="shared" si="0"/>
        <v>150000</v>
      </c>
      <c r="I36" s="601"/>
    </row>
    <row r="37" spans="1:8" s="282" customFormat="1" ht="18.75" customHeight="1">
      <c r="A37" s="283"/>
      <c r="B37" s="279">
        <v>90015</v>
      </c>
      <c r="C37" s="71" t="s">
        <v>236</v>
      </c>
      <c r="D37" s="280"/>
      <c r="E37" s="46"/>
      <c r="F37" s="46">
        <f>F38</f>
        <v>34900</v>
      </c>
      <c r="G37" s="247">
        <f t="shared" si="0"/>
        <v>34900</v>
      </c>
      <c r="H37" s="281"/>
    </row>
    <row r="38" spans="1:9" s="257" customFormat="1" ht="18.75" customHeight="1">
      <c r="A38" s="283"/>
      <c r="B38" s="279"/>
      <c r="C38" s="568" t="s">
        <v>379</v>
      </c>
      <c r="D38" s="284"/>
      <c r="E38" s="284"/>
      <c r="F38" s="284">
        <v>34900</v>
      </c>
      <c r="G38" s="80">
        <f t="shared" si="0"/>
        <v>34900</v>
      </c>
      <c r="I38" s="601"/>
    </row>
    <row r="39" spans="1:9" s="118" customFormat="1" ht="19.5" customHeight="1">
      <c r="A39" s="28">
        <v>921</v>
      </c>
      <c r="B39" s="28"/>
      <c r="C39" s="488" t="s">
        <v>357</v>
      </c>
      <c r="D39" s="278">
        <v>1045000</v>
      </c>
      <c r="E39" s="278"/>
      <c r="F39" s="278">
        <f>F40</f>
        <v>15000</v>
      </c>
      <c r="G39" s="278">
        <f t="shared" si="0"/>
        <v>1060000</v>
      </c>
      <c r="I39" s="723"/>
    </row>
    <row r="40" spans="1:8" s="282" customFormat="1" ht="19.5" customHeight="1">
      <c r="A40" s="141"/>
      <c r="B40" s="62">
        <v>92110</v>
      </c>
      <c r="C40" s="62" t="s">
        <v>374</v>
      </c>
      <c r="D40" s="280"/>
      <c r="E40" s="46"/>
      <c r="F40" s="46">
        <f>F41</f>
        <v>15000</v>
      </c>
      <c r="G40" s="46">
        <f t="shared" si="0"/>
        <v>15000</v>
      </c>
      <c r="H40" s="281"/>
    </row>
    <row r="41" spans="1:9" ht="19.5" customHeight="1">
      <c r="A41" s="64"/>
      <c r="B41" s="64"/>
      <c r="C41" s="569" t="s">
        <v>375</v>
      </c>
      <c r="D41" s="136"/>
      <c r="E41" s="136"/>
      <c r="F41" s="136">
        <v>15000</v>
      </c>
      <c r="G41" s="136">
        <f t="shared" si="0"/>
        <v>15000</v>
      </c>
      <c r="H41" s="722"/>
      <c r="I41" s="518"/>
    </row>
    <row r="42" spans="1:9" ht="21" customHeight="1">
      <c r="A42" s="277"/>
      <c r="B42" s="62"/>
      <c r="C42" s="570" t="s">
        <v>313</v>
      </c>
      <c r="D42" s="571">
        <v>133000</v>
      </c>
      <c r="E42" s="571"/>
      <c r="F42" s="571"/>
      <c r="G42" s="571">
        <f t="shared" si="0"/>
        <v>133000</v>
      </c>
      <c r="I42" s="518"/>
    </row>
  </sheetData>
  <mergeCells count="1">
    <mergeCell ref="D7:D8"/>
  </mergeCells>
  <printOptions horizontalCentered="1"/>
  <pageMargins left="0.5905511811023623" right="0.5905511811023623" top="0.3937007874015748" bottom="0.5905511811023623" header="0.5118110236220472" footer="0.4330708661417323"/>
  <pageSetup firstPageNumber="10" useFirstPageNumber="1" horizontalDpi="600" verticalDpi="600" orientation="landscape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 topLeftCell="G1">
      <selection activeCell="M8" sqref="M8:N8"/>
    </sheetView>
  </sheetViews>
  <sheetFormatPr defaultColWidth="9.125" defaultRowHeight="12.75"/>
  <cols>
    <col min="1" max="1" width="6.125" style="83" customWidth="1"/>
    <col min="2" max="2" width="8.125" style="83" customWidth="1"/>
    <col min="3" max="3" width="6.75390625" style="83" customWidth="1"/>
    <col min="4" max="4" width="57.125" style="83" customWidth="1"/>
    <col min="5" max="5" width="20.00390625" style="83" customWidth="1"/>
    <col min="6" max="6" width="14.25390625" style="83" hidden="1" customWidth="1"/>
    <col min="7" max="7" width="12.375" style="83" customWidth="1"/>
    <col min="8" max="8" width="13.25390625" style="83" customWidth="1"/>
    <col min="9" max="9" width="20.25390625" style="83" customWidth="1"/>
    <col min="10" max="10" width="12.00390625" style="83" customWidth="1"/>
    <col min="11" max="11" width="13.375" style="83" customWidth="1"/>
  </cols>
  <sheetData>
    <row r="1" spans="2:10" ht="15" customHeight="1">
      <c r="B1" s="288"/>
      <c r="D1" s="52"/>
      <c r="J1" s="2" t="s">
        <v>171</v>
      </c>
    </row>
    <row r="2" spans="1:10" ht="15" customHeight="1">
      <c r="A2" s="289" t="s">
        <v>316</v>
      </c>
      <c r="B2" s="289"/>
      <c r="C2" s="289"/>
      <c r="D2" s="289"/>
      <c r="J2" s="81" t="s">
        <v>538</v>
      </c>
    </row>
    <row r="3" spans="1:10" ht="15" customHeight="1">
      <c r="A3" s="780" t="s">
        <v>317</v>
      </c>
      <c r="B3" s="780"/>
      <c r="C3" s="780"/>
      <c r="D3" s="780"/>
      <c r="J3" s="81" t="s">
        <v>179</v>
      </c>
    </row>
    <row r="4" spans="1:10" ht="15" customHeight="1">
      <c r="A4" s="780" t="s">
        <v>176</v>
      </c>
      <c r="B4" s="780"/>
      <c r="C4" s="780"/>
      <c r="D4" s="780"/>
      <c r="G4" s="84"/>
      <c r="J4" s="81" t="s">
        <v>530</v>
      </c>
    </row>
    <row r="5" spans="1:11" ht="9.75" customHeight="1">
      <c r="A5" s="290"/>
      <c r="B5" s="290"/>
      <c r="C5" s="290"/>
      <c r="D5" s="290"/>
      <c r="E5" s="291"/>
      <c r="F5" s="291"/>
      <c r="G5" s="291"/>
      <c r="H5" s="291"/>
      <c r="I5" s="291"/>
      <c r="J5" s="291"/>
      <c r="K5" s="291"/>
    </row>
    <row r="6" spans="5:11" ht="12" customHeight="1" thickBot="1">
      <c r="E6" s="260"/>
      <c r="F6" s="260"/>
      <c r="G6" s="260"/>
      <c r="H6" s="260"/>
      <c r="I6" s="260"/>
      <c r="J6" s="260"/>
      <c r="K6" s="260" t="s">
        <v>245</v>
      </c>
    </row>
    <row r="7" spans="1:11" ht="20.25" customHeight="1" thickTop="1">
      <c r="A7" s="96"/>
      <c r="B7" s="96"/>
      <c r="C7" s="96"/>
      <c r="D7" s="97" t="s">
        <v>233</v>
      </c>
      <c r="E7" s="781" t="s">
        <v>382</v>
      </c>
      <c r="G7" s="292"/>
      <c r="H7" s="781" t="s">
        <v>318</v>
      </c>
      <c r="I7" s="781" t="s">
        <v>383</v>
      </c>
      <c r="J7" s="292"/>
      <c r="K7" s="781" t="s">
        <v>319</v>
      </c>
    </row>
    <row r="8" spans="1:11" ht="61.5" customHeight="1" thickBot="1">
      <c r="A8" s="87" t="s">
        <v>241</v>
      </c>
      <c r="B8" s="1" t="s">
        <v>320</v>
      </c>
      <c r="C8" s="1" t="s">
        <v>243</v>
      </c>
      <c r="D8" s="1" t="s">
        <v>259</v>
      </c>
      <c r="E8" s="783"/>
      <c r="F8" s="1" t="s">
        <v>323</v>
      </c>
      <c r="G8" s="1" t="s">
        <v>288</v>
      </c>
      <c r="H8" s="782"/>
      <c r="I8" s="783"/>
      <c r="J8" s="1" t="s">
        <v>288</v>
      </c>
      <c r="K8" s="782"/>
    </row>
    <row r="9" spans="1:11" ht="12.75" customHeight="1" thickBot="1" thickTop="1">
      <c r="A9" s="293">
        <v>1</v>
      </c>
      <c r="B9" s="293">
        <v>2</v>
      </c>
      <c r="C9" s="293">
        <v>3</v>
      </c>
      <c r="D9" s="293">
        <v>4</v>
      </c>
      <c r="E9" s="293">
        <v>5</v>
      </c>
      <c r="F9" s="293">
        <v>6</v>
      </c>
      <c r="G9" s="293">
        <v>6</v>
      </c>
      <c r="H9" s="293">
        <v>7</v>
      </c>
      <c r="I9" s="294">
        <v>8</v>
      </c>
      <c r="J9" s="293">
        <v>9</v>
      </c>
      <c r="K9" s="293">
        <v>10</v>
      </c>
    </row>
    <row r="10" spans="1:11" ht="23.25" customHeight="1" thickBot="1" thickTop="1">
      <c r="A10" s="295"/>
      <c r="B10" s="295"/>
      <c r="C10" s="296"/>
      <c r="D10" s="297" t="s">
        <v>324</v>
      </c>
      <c r="E10" s="298">
        <v>62499979</v>
      </c>
      <c r="F10" s="298"/>
      <c r="G10" s="298">
        <f>G11</f>
        <v>8851</v>
      </c>
      <c r="H10" s="298">
        <f>E10+G10</f>
        <v>62508830</v>
      </c>
      <c r="I10" s="299">
        <v>53973979</v>
      </c>
      <c r="J10" s="298">
        <f>J11</f>
        <v>8851</v>
      </c>
      <c r="K10" s="298">
        <f>I10+J10</f>
        <v>53982830</v>
      </c>
    </row>
    <row r="11" spans="1:11" ht="28.5" customHeight="1" thickBot="1">
      <c r="A11" s="13"/>
      <c r="B11" s="14"/>
      <c r="C11" s="14"/>
      <c r="D11" s="481" t="s">
        <v>531</v>
      </c>
      <c r="E11" s="482">
        <v>28531784</v>
      </c>
      <c r="F11" s="482"/>
      <c r="G11" s="482">
        <f>G12</f>
        <v>8851</v>
      </c>
      <c r="H11" s="482">
        <f>E11+G11</f>
        <v>28540635</v>
      </c>
      <c r="I11" s="483">
        <v>20667784</v>
      </c>
      <c r="J11" s="482">
        <f>J12</f>
        <v>8851</v>
      </c>
      <c r="K11" s="482">
        <f>I11+J11</f>
        <v>20676635</v>
      </c>
    </row>
    <row r="12" spans="1:11" ht="19.5" customHeight="1" thickTop="1">
      <c r="A12" s="72">
        <v>853</v>
      </c>
      <c r="B12" s="72"/>
      <c r="C12" s="72"/>
      <c r="D12" s="72" t="s">
        <v>229</v>
      </c>
      <c r="E12" s="278">
        <v>4011000</v>
      </c>
      <c r="F12" s="278"/>
      <c r="G12" s="278">
        <f>G13</f>
        <v>8851</v>
      </c>
      <c r="H12" s="278">
        <f>E12+G12</f>
        <v>4019851</v>
      </c>
      <c r="I12" s="278">
        <v>3983000</v>
      </c>
      <c r="J12" s="278">
        <f>J13</f>
        <v>8851</v>
      </c>
      <c r="K12" s="248">
        <f>I12+J12</f>
        <v>3991851</v>
      </c>
    </row>
    <row r="13" spans="1:11" ht="19.5" customHeight="1">
      <c r="A13" s="64"/>
      <c r="B13" s="71">
        <v>85334</v>
      </c>
      <c r="C13" s="71"/>
      <c r="D13" s="39" t="s">
        <v>350</v>
      </c>
      <c r="E13" s="33"/>
      <c r="F13" s="34"/>
      <c r="G13" s="34">
        <f>G14</f>
        <v>8851</v>
      </c>
      <c r="H13" s="34">
        <v>8851</v>
      </c>
      <c r="I13" s="34"/>
      <c r="J13" s="34">
        <f>J16</f>
        <v>8851</v>
      </c>
      <c r="K13" s="301">
        <f>I13+J13</f>
        <v>8851</v>
      </c>
    </row>
    <row r="14" spans="1:11" ht="19.5" customHeight="1">
      <c r="A14" s="64"/>
      <c r="B14" s="64"/>
      <c r="C14" s="37"/>
      <c r="D14" s="25" t="s">
        <v>520</v>
      </c>
      <c r="E14" s="26"/>
      <c r="F14" s="31"/>
      <c r="G14" s="31">
        <f>G15</f>
        <v>8851</v>
      </c>
      <c r="H14" s="31">
        <v>8851</v>
      </c>
      <c r="I14" s="31"/>
      <c r="J14" s="31"/>
      <c r="K14" s="302"/>
    </row>
    <row r="15" spans="1:11" ht="40.5" customHeight="1">
      <c r="A15" s="64"/>
      <c r="B15" s="64"/>
      <c r="C15" s="58">
        <v>211</v>
      </c>
      <c r="D15" s="54" t="s">
        <v>532</v>
      </c>
      <c r="E15" s="55"/>
      <c r="F15" s="53"/>
      <c r="G15" s="53">
        <v>8851</v>
      </c>
      <c r="H15" s="53">
        <v>8851</v>
      </c>
      <c r="I15" s="53"/>
      <c r="J15" s="53"/>
      <c r="K15" s="466"/>
    </row>
    <row r="16" spans="1:11" ht="19.5" customHeight="1">
      <c r="A16" s="64"/>
      <c r="B16" s="64"/>
      <c r="C16" s="64"/>
      <c r="D16" s="287" t="s">
        <v>351</v>
      </c>
      <c r="E16" s="724"/>
      <c r="F16" s="724"/>
      <c r="G16" s="724"/>
      <c r="H16" s="724"/>
      <c r="I16" s="724"/>
      <c r="J16" s="724">
        <v>8851</v>
      </c>
      <c r="K16" s="725">
        <f>I16+J16</f>
        <v>8851</v>
      </c>
    </row>
    <row r="17" spans="1:11" ht="18" customHeight="1">
      <c r="A17" s="304"/>
      <c r="B17" s="305"/>
      <c r="C17" s="306"/>
      <c r="D17" s="307" t="s">
        <v>208</v>
      </c>
      <c r="E17" s="307"/>
      <c r="F17" s="307"/>
      <c r="G17" s="307"/>
      <c r="H17" s="308"/>
      <c r="I17" s="508"/>
      <c r="J17" s="307"/>
      <c r="K17" s="307"/>
    </row>
    <row r="18" spans="1:11" ht="27.75" customHeight="1">
      <c r="A18" s="85"/>
      <c r="B18" s="63"/>
      <c r="C18" s="63">
        <v>235</v>
      </c>
      <c r="D18" s="119" t="s">
        <v>326</v>
      </c>
      <c r="E18" s="59">
        <v>8526000</v>
      </c>
      <c r="F18" s="59"/>
      <c r="G18" s="59"/>
      <c r="H18" s="310">
        <v>8526000</v>
      </c>
      <c r="I18" s="59"/>
      <c r="J18" s="59"/>
      <c r="K18" s="59"/>
    </row>
  </sheetData>
  <mergeCells count="6">
    <mergeCell ref="A3:D3"/>
    <mergeCell ref="A4:D4"/>
    <mergeCell ref="H7:H8"/>
    <mergeCell ref="K7:K8"/>
    <mergeCell ref="E7:E8"/>
    <mergeCell ref="I7:I8"/>
  </mergeCells>
  <printOptions horizontalCentered="1"/>
  <pageMargins left="0.5905511811023623" right="0.5905511811023623" top="0.3937007874015748" bottom="0.5905511811023623" header="0.5118110236220472" footer="0.3937007874015748"/>
  <pageSetup firstPageNumber="12" useFirstPageNumber="1" horizontalDpi="600" verticalDpi="600" orientation="landscape" paperSize="9" scale="8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K38"/>
  <sheetViews>
    <sheetView zoomScale="75" zoomScaleNormal="75" zoomScaleSheetLayoutView="75" workbookViewId="0" topLeftCell="B1">
      <selection activeCell="D9" sqref="D9"/>
    </sheetView>
  </sheetViews>
  <sheetFormatPr defaultColWidth="9.00390625" defaultRowHeight="12.75"/>
  <cols>
    <col min="1" max="1" width="5.375" style="83" customWidth="1"/>
    <col min="2" max="2" width="7.75390625" style="83" customWidth="1"/>
    <col min="3" max="3" width="5.625" style="83" customWidth="1"/>
    <col min="4" max="4" width="69.875" style="83" customWidth="1"/>
    <col min="5" max="5" width="19.125" style="83" customWidth="1"/>
    <col min="6" max="6" width="14.625" style="83" hidden="1" customWidth="1"/>
    <col min="7" max="7" width="17.375" style="83" customWidth="1"/>
    <col min="8" max="8" width="17.75390625" style="83" customWidth="1"/>
    <col min="9" max="9" width="12.00390625" style="83" customWidth="1"/>
    <col min="10" max="10" width="11.125" style="83" customWidth="1"/>
    <col min="11" max="11" width="15.25390625" style="83" customWidth="1"/>
    <col min="12" max="16384" width="9.125" style="83" customWidth="1"/>
  </cols>
  <sheetData>
    <row r="1" spans="2:7" ht="15" customHeight="1">
      <c r="B1" s="84"/>
      <c r="C1" s="84"/>
      <c r="G1" s="83" t="s">
        <v>432</v>
      </c>
    </row>
    <row r="2" ht="15.75" customHeight="1">
      <c r="G2" s="83" t="s">
        <v>538</v>
      </c>
    </row>
    <row r="3" spans="4:7" ht="17.25" customHeight="1">
      <c r="D3" s="534" t="s">
        <v>202</v>
      </c>
      <c r="G3" s="83" t="s">
        <v>179</v>
      </c>
    </row>
    <row r="4" ht="17.25" customHeight="1">
      <c r="G4" s="83" t="s">
        <v>361</v>
      </c>
    </row>
    <row r="5" ht="14.25" customHeight="1" thickBot="1">
      <c r="H5" s="535" t="s">
        <v>245</v>
      </c>
    </row>
    <row r="6" spans="1:8" ht="78" customHeight="1" thickBot="1" thickTop="1">
      <c r="A6" s="536" t="s">
        <v>283</v>
      </c>
      <c r="B6" s="536" t="s">
        <v>258</v>
      </c>
      <c r="C6" s="505" t="s">
        <v>243</v>
      </c>
      <c r="D6" s="505" t="s">
        <v>180</v>
      </c>
      <c r="E6" s="505" t="s">
        <v>186</v>
      </c>
      <c r="F6" s="505" t="s">
        <v>203</v>
      </c>
      <c r="G6" s="536" t="s">
        <v>204</v>
      </c>
      <c r="H6" s="505" t="s">
        <v>305</v>
      </c>
    </row>
    <row r="7" spans="1:8" s="198" customFormat="1" ht="15.75" customHeight="1" thickBot="1" thickTop="1">
      <c r="A7" s="537">
        <v>1</v>
      </c>
      <c r="B7" s="537">
        <v>2</v>
      </c>
      <c r="C7" s="537">
        <v>3</v>
      </c>
      <c r="D7" s="537">
        <v>4</v>
      </c>
      <c r="E7" s="537">
        <v>5</v>
      </c>
      <c r="F7" s="537">
        <v>6</v>
      </c>
      <c r="G7" s="537">
        <v>6</v>
      </c>
      <c r="H7" s="537">
        <v>7</v>
      </c>
    </row>
    <row r="8" spans="1:11" ht="18" customHeight="1" thickBot="1" thickTop="1">
      <c r="A8" s="264"/>
      <c r="B8" s="264"/>
      <c r="C8" s="264"/>
      <c r="D8" s="538" t="s">
        <v>230</v>
      </c>
      <c r="E8" s="539">
        <v>630228203</v>
      </c>
      <c r="F8" s="539"/>
      <c r="G8" s="539">
        <f>G10+G25</f>
        <v>713599</v>
      </c>
      <c r="H8" s="539">
        <f>E8+G8</f>
        <v>630941802</v>
      </c>
      <c r="I8" s="93"/>
      <c r="J8" s="93"/>
      <c r="K8" s="93"/>
    </row>
    <row r="9" spans="1:8" ht="15" customHeight="1" thickTop="1">
      <c r="A9" s="64"/>
      <c r="B9" s="64"/>
      <c r="C9" s="64"/>
      <c r="D9" s="64" t="s">
        <v>224</v>
      </c>
      <c r="E9" s="86"/>
      <c r="F9" s="86"/>
      <c r="G9" s="86"/>
      <c r="H9" s="86"/>
    </row>
    <row r="10" spans="1:11" ht="19.5" customHeight="1" thickBot="1">
      <c r="A10" s="64"/>
      <c r="B10" s="64"/>
      <c r="C10" s="64"/>
      <c r="D10" s="540" t="s">
        <v>181</v>
      </c>
      <c r="E10" s="541">
        <v>435493011</v>
      </c>
      <c r="F10" s="541"/>
      <c r="G10" s="541">
        <f>G18</f>
        <v>427489</v>
      </c>
      <c r="H10" s="541">
        <f aca="true" t="shared" si="0" ref="H10:H34">E10+G10</f>
        <v>435920500</v>
      </c>
      <c r="I10" s="93"/>
      <c r="K10" s="93"/>
    </row>
    <row r="11" spans="1:8" ht="18" customHeight="1" hidden="1" thickBot="1" thickTop="1">
      <c r="A11" s="64"/>
      <c r="B11" s="64"/>
      <c r="C11" s="64"/>
      <c r="D11" s="542" t="s">
        <v>231</v>
      </c>
      <c r="E11" s="543"/>
      <c r="F11" s="543"/>
      <c r="G11" s="543"/>
      <c r="H11" s="543">
        <f t="shared" si="0"/>
        <v>0</v>
      </c>
    </row>
    <row r="12" spans="1:8" ht="18" customHeight="1" hidden="1">
      <c r="A12" s="64"/>
      <c r="B12" s="64"/>
      <c r="C12" s="64"/>
      <c r="D12" s="461" t="s">
        <v>182</v>
      </c>
      <c r="E12" s="544"/>
      <c r="F12" s="544"/>
      <c r="G12" s="544"/>
      <c r="H12" s="544">
        <f t="shared" si="0"/>
        <v>0</v>
      </c>
    </row>
    <row r="13" spans="1:8" s="118" customFormat="1" ht="18" customHeight="1" hidden="1" thickBot="1">
      <c r="A13" s="61"/>
      <c r="B13" s="61"/>
      <c r="C13" s="61"/>
      <c r="D13" s="545" t="s">
        <v>239</v>
      </c>
      <c r="E13" s="546"/>
      <c r="F13" s="546"/>
      <c r="G13" s="546"/>
      <c r="H13" s="546">
        <f t="shared" si="0"/>
        <v>0</v>
      </c>
    </row>
    <row r="14" spans="1:8" s="118" customFormat="1" ht="18" customHeight="1" hidden="1" thickBot="1">
      <c r="A14" s="61"/>
      <c r="B14" s="61"/>
      <c r="C14" s="61"/>
      <c r="D14" s="547" t="s">
        <v>183</v>
      </c>
      <c r="E14" s="548"/>
      <c r="F14" s="548"/>
      <c r="G14" s="548"/>
      <c r="H14" s="548">
        <f t="shared" si="0"/>
        <v>0</v>
      </c>
    </row>
    <row r="15" spans="1:8" ht="18" customHeight="1" hidden="1" thickBot="1" thickTop="1">
      <c r="A15" s="64"/>
      <c r="B15" s="64"/>
      <c r="C15" s="64"/>
      <c r="D15" s="547" t="s">
        <v>336</v>
      </c>
      <c r="E15" s="548"/>
      <c r="F15" s="548"/>
      <c r="G15" s="548"/>
      <c r="H15" s="548">
        <f t="shared" si="0"/>
        <v>0</v>
      </c>
    </row>
    <row r="16" spans="1:8" ht="16.5" customHeight="1" thickBot="1">
      <c r="A16" s="64"/>
      <c r="B16" s="64"/>
      <c r="C16" s="64"/>
      <c r="D16" s="547" t="s">
        <v>231</v>
      </c>
      <c r="E16" s="549">
        <v>289383820</v>
      </c>
      <c r="F16" s="549"/>
      <c r="G16" s="549"/>
      <c r="H16" s="549">
        <f t="shared" si="0"/>
        <v>289383820</v>
      </c>
    </row>
    <row r="17" spans="1:8" ht="18" customHeight="1" thickBot="1" thickTop="1">
      <c r="A17" s="64"/>
      <c r="B17" s="64"/>
      <c r="C17" s="64"/>
      <c r="D17" s="550" t="s">
        <v>182</v>
      </c>
      <c r="E17" s="551">
        <v>110843066</v>
      </c>
      <c r="F17" s="551"/>
      <c r="G17" s="551"/>
      <c r="H17" s="551">
        <f t="shared" si="0"/>
        <v>110843066</v>
      </c>
    </row>
    <row r="18" spans="1:8" ht="19.5" customHeight="1" thickBot="1" thickTop="1">
      <c r="A18" s="85"/>
      <c r="B18" s="85"/>
      <c r="C18" s="85"/>
      <c r="D18" s="547" t="s">
        <v>239</v>
      </c>
      <c r="E18" s="549">
        <v>1947978</v>
      </c>
      <c r="F18" s="549"/>
      <c r="G18" s="549">
        <f>G19</f>
        <v>427489</v>
      </c>
      <c r="H18" s="549">
        <f t="shared" si="0"/>
        <v>2375467</v>
      </c>
    </row>
    <row r="19" spans="1:8" ht="18" customHeight="1" thickTop="1">
      <c r="A19" s="32">
        <v>853</v>
      </c>
      <c r="B19" s="16"/>
      <c r="C19" s="16"/>
      <c r="D19" s="17" t="s">
        <v>229</v>
      </c>
      <c r="E19" s="43">
        <v>1077978</v>
      </c>
      <c r="F19" s="43"/>
      <c r="G19" s="43">
        <f>G20</f>
        <v>427489</v>
      </c>
      <c r="H19" s="43">
        <f t="shared" si="0"/>
        <v>1505467</v>
      </c>
    </row>
    <row r="20" spans="1:8" ht="17.25" customHeight="1">
      <c r="A20" s="19"/>
      <c r="B20" s="20">
        <v>85315</v>
      </c>
      <c r="C20" s="20"/>
      <c r="D20" s="23" t="s">
        <v>234</v>
      </c>
      <c r="E20" s="513">
        <v>854978</v>
      </c>
      <c r="F20" s="513"/>
      <c r="G20" s="513">
        <f>G21</f>
        <v>427489</v>
      </c>
      <c r="H20" s="513">
        <f>E20+G20</f>
        <v>1282467</v>
      </c>
    </row>
    <row r="21" spans="1:8" ht="27" customHeight="1">
      <c r="A21" s="64"/>
      <c r="B21" s="64"/>
      <c r="C21" s="37"/>
      <c r="D21" s="25" t="s">
        <v>252</v>
      </c>
      <c r="E21" s="41">
        <v>854978</v>
      </c>
      <c r="F21" s="41"/>
      <c r="G21" s="41">
        <f>G22</f>
        <v>427489</v>
      </c>
      <c r="H21" s="41">
        <f>E21+G21</f>
        <v>1282467</v>
      </c>
    </row>
    <row r="22" spans="1:8" s="118" customFormat="1" ht="27.75" customHeight="1">
      <c r="A22" s="61"/>
      <c r="B22" s="61"/>
      <c r="C22" s="57">
        <v>203</v>
      </c>
      <c r="D22" s="469" t="s">
        <v>184</v>
      </c>
      <c r="E22" s="59">
        <v>854978</v>
      </c>
      <c r="F22" s="59"/>
      <c r="G22" s="59">
        <v>427489</v>
      </c>
      <c r="H22" s="59">
        <f>E22+G22</f>
        <v>1282467</v>
      </c>
    </row>
    <row r="23" spans="1:8" ht="20.25" customHeight="1" thickBot="1">
      <c r="A23" s="64"/>
      <c r="B23" s="64"/>
      <c r="C23" s="65"/>
      <c r="D23" s="545" t="s">
        <v>248</v>
      </c>
      <c r="E23" s="549">
        <v>11952</v>
      </c>
      <c r="F23" s="549"/>
      <c r="G23" s="549"/>
      <c r="H23" s="549">
        <f t="shared" si="0"/>
        <v>11952</v>
      </c>
    </row>
    <row r="24" spans="1:8" ht="29.25" customHeight="1" thickBot="1" thickTop="1">
      <c r="A24" s="64"/>
      <c r="B24" s="64"/>
      <c r="C24" s="64"/>
      <c r="D24" s="550" t="s">
        <v>185</v>
      </c>
      <c r="E24" s="551">
        <v>33306195</v>
      </c>
      <c r="F24" s="551"/>
      <c r="G24" s="551"/>
      <c r="H24" s="551">
        <f t="shared" si="0"/>
        <v>33306195</v>
      </c>
    </row>
    <row r="25" spans="1:9" ht="17.25" customHeight="1" thickBot="1" thickTop="1">
      <c r="A25" s="64"/>
      <c r="B25" s="64"/>
      <c r="C25" s="64"/>
      <c r="D25" s="540" t="s">
        <v>232</v>
      </c>
      <c r="E25" s="541">
        <v>194735192</v>
      </c>
      <c r="F25" s="541"/>
      <c r="G25" s="541">
        <f>G28+G34</f>
        <v>286110</v>
      </c>
      <c r="H25" s="541">
        <f t="shared" si="0"/>
        <v>195021302</v>
      </c>
      <c r="I25" s="93"/>
    </row>
    <row r="26" spans="1:9" s="518" customFormat="1" ht="19.5" customHeight="1" thickBot="1">
      <c r="A26" s="64"/>
      <c r="B26" s="64"/>
      <c r="C26" s="64"/>
      <c r="D26" s="552" t="s">
        <v>231</v>
      </c>
      <c r="E26" s="543">
        <v>16746019</v>
      </c>
      <c r="F26" s="543"/>
      <c r="G26" s="543"/>
      <c r="H26" s="543">
        <f t="shared" si="0"/>
        <v>16746019</v>
      </c>
      <c r="I26" s="304"/>
    </row>
    <row r="27" spans="1:8" ht="18" customHeight="1" thickBot="1" thickTop="1">
      <c r="A27" s="64"/>
      <c r="B27" s="64"/>
      <c r="C27" s="64"/>
      <c r="D27" s="550" t="s">
        <v>182</v>
      </c>
      <c r="E27" s="678">
        <v>134739658</v>
      </c>
      <c r="F27" s="678"/>
      <c r="G27" s="678"/>
      <c r="H27" s="678">
        <f t="shared" si="0"/>
        <v>134739658</v>
      </c>
    </row>
    <row r="28" spans="1:8" ht="20.25" customHeight="1" thickBot="1" thickTop="1">
      <c r="A28" s="64"/>
      <c r="B28" s="64"/>
      <c r="C28" s="64"/>
      <c r="D28" s="547" t="s">
        <v>239</v>
      </c>
      <c r="E28" s="548">
        <v>20085000</v>
      </c>
      <c r="F28" s="548"/>
      <c r="G28" s="548">
        <f>G29</f>
        <v>277259</v>
      </c>
      <c r="H28" s="548">
        <f t="shared" si="0"/>
        <v>20362259</v>
      </c>
    </row>
    <row r="29" spans="1:8" ht="18" customHeight="1" thickTop="1">
      <c r="A29" s="27">
        <v>854</v>
      </c>
      <c r="B29" s="28"/>
      <c r="C29" s="28"/>
      <c r="D29" s="17" t="s">
        <v>238</v>
      </c>
      <c r="E29" s="43">
        <v>72000</v>
      </c>
      <c r="F29" s="43"/>
      <c r="G29" s="43">
        <f>G30+G33</f>
        <v>277259</v>
      </c>
      <c r="H29" s="43">
        <f>E29+G29</f>
        <v>349259</v>
      </c>
    </row>
    <row r="30" spans="1:8" ht="17.25" customHeight="1">
      <c r="A30" s="19"/>
      <c r="B30" s="20">
        <v>85415</v>
      </c>
      <c r="C30" s="20"/>
      <c r="D30" s="23" t="s">
        <v>253</v>
      </c>
      <c r="E30" s="513"/>
      <c r="F30" s="513"/>
      <c r="G30" s="513">
        <f>G31</f>
        <v>277259</v>
      </c>
      <c r="H30" s="513">
        <f>E30+G30</f>
        <v>277259</v>
      </c>
    </row>
    <row r="31" spans="1:8" ht="20.25" customHeight="1">
      <c r="A31" s="64"/>
      <c r="B31" s="64"/>
      <c r="C31" s="37"/>
      <c r="D31" s="25" t="s">
        <v>519</v>
      </c>
      <c r="E31" s="41"/>
      <c r="F31" s="41"/>
      <c r="G31" s="41">
        <f>G32</f>
        <v>277259</v>
      </c>
      <c r="H31" s="41">
        <f>E31+G31</f>
        <v>277259</v>
      </c>
    </row>
    <row r="32" spans="1:8" s="118" customFormat="1" ht="27" customHeight="1">
      <c r="A32" s="63"/>
      <c r="B32" s="63"/>
      <c r="C32" s="58">
        <v>213</v>
      </c>
      <c r="D32" s="54" t="s">
        <v>244</v>
      </c>
      <c r="E32" s="59"/>
      <c r="F32" s="59"/>
      <c r="G32" s="59">
        <v>277259</v>
      </c>
      <c r="H32" s="59">
        <f>E32+G32</f>
        <v>277259</v>
      </c>
    </row>
    <row r="33" spans="1:8" ht="19.5" customHeight="1" thickBot="1">
      <c r="A33" s="64"/>
      <c r="B33" s="64"/>
      <c r="C33" s="64"/>
      <c r="D33" s="547" t="s">
        <v>248</v>
      </c>
      <c r="E33" s="548">
        <v>2492981</v>
      </c>
      <c r="F33" s="548"/>
      <c r="G33" s="548"/>
      <c r="H33" s="548">
        <f t="shared" si="0"/>
        <v>2492981</v>
      </c>
    </row>
    <row r="34" spans="1:8" ht="20.25" customHeight="1" thickBot="1" thickTop="1">
      <c r="A34" s="85"/>
      <c r="B34" s="85"/>
      <c r="C34" s="85"/>
      <c r="D34" s="550" t="s">
        <v>249</v>
      </c>
      <c r="E34" s="678">
        <v>20671534</v>
      </c>
      <c r="F34" s="678"/>
      <c r="G34" s="678">
        <f>G35</f>
        <v>8851</v>
      </c>
      <c r="H34" s="678">
        <f t="shared" si="0"/>
        <v>20680385</v>
      </c>
    </row>
    <row r="35" spans="1:8" ht="18" customHeight="1" thickTop="1">
      <c r="A35" s="32">
        <v>853</v>
      </c>
      <c r="B35" s="16"/>
      <c r="C35" s="16"/>
      <c r="D35" s="17" t="s">
        <v>229</v>
      </c>
      <c r="E35" s="43">
        <v>3983000</v>
      </c>
      <c r="F35" s="43"/>
      <c r="G35" s="43">
        <f>G36+G39</f>
        <v>8851</v>
      </c>
      <c r="H35" s="43">
        <f>E35+G35</f>
        <v>3991851</v>
      </c>
    </row>
    <row r="36" spans="1:8" ht="17.25" customHeight="1">
      <c r="A36" s="19"/>
      <c r="B36" s="20">
        <v>85334</v>
      </c>
      <c r="C36" s="20"/>
      <c r="D36" s="23" t="s">
        <v>350</v>
      </c>
      <c r="E36" s="513"/>
      <c r="F36" s="513"/>
      <c r="G36" s="513">
        <f>G37</f>
        <v>8851</v>
      </c>
      <c r="H36" s="513">
        <f>E36+G36</f>
        <v>8851</v>
      </c>
    </row>
    <row r="37" spans="1:8" ht="20.25" customHeight="1">
      <c r="A37" s="64"/>
      <c r="B37" s="64"/>
      <c r="C37" s="37"/>
      <c r="D37" s="25" t="s">
        <v>520</v>
      </c>
      <c r="E37" s="41"/>
      <c r="F37" s="41"/>
      <c r="G37" s="41">
        <f>G38</f>
        <v>8851</v>
      </c>
      <c r="H37" s="41">
        <f>E37+G37</f>
        <v>8851</v>
      </c>
    </row>
    <row r="38" spans="1:8" s="118" customFormat="1" ht="27.75" customHeight="1">
      <c r="A38" s="63"/>
      <c r="B38" s="63"/>
      <c r="C38" s="58">
        <v>211</v>
      </c>
      <c r="D38" s="54" t="s">
        <v>247</v>
      </c>
      <c r="E38" s="59"/>
      <c r="F38" s="59"/>
      <c r="G38" s="59">
        <v>8851</v>
      </c>
      <c r="H38" s="59">
        <f>E38+G38</f>
        <v>8851</v>
      </c>
    </row>
  </sheetData>
  <printOptions horizontalCentered="1"/>
  <pageMargins left="0.5905511811023623" right="0.5905511811023623" top="0.3937007874015748" bottom="0.4724409448818898" header="0.5118110236220472" footer="0.31496062992125984"/>
  <pageSetup firstPageNumber="13" useFirstPageNumber="1" horizontalDpi="600" verticalDpi="600" orientation="landscape" paperSize="9" scale="95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2"/>
  <dimension ref="A1:J216"/>
  <sheetViews>
    <sheetView zoomScale="65" zoomScaleNormal="65" workbookViewId="0" topLeftCell="A184">
      <selection activeCell="I199" sqref="I199"/>
    </sheetView>
  </sheetViews>
  <sheetFormatPr defaultColWidth="9.00390625" defaultRowHeight="12.75"/>
  <cols>
    <col min="1" max="1" width="6.25390625" style="83" customWidth="1"/>
    <col min="2" max="2" width="8.125" style="83" customWidth="1"/>
    <col min="3" max="3" width="6.375" style="83" customWidth="1"/>
    <col min="4" max="4" width="64.625" style="83" customWidth="1"/>
    <col min="5" max="5" width="19.375" style="93" customWidth="1"/>
    <col min="6" max="7" width="14.75390625" style="93" customWidth="1"/>
    <col min="8" max="8" width="15.75390625" style="93" customWidth="1"/>
    <col min="9" max="9" width="10.375" style="83" bestFit="1" customWidth="1"/>
    <col min="10" max="10" width="11.00390625" style="83" customWidth="1"/>
    <col min="11" max="16384" width="9.125" style="83" customWidth="1"/>
  </cols>
  <sheetData>
    <row r="1" spans="7:8" ht="16.5" customHeight="1">
      <c r="G1" s="93" t="s">
        <v>537</v>
      </c>
      <c r="H1" s="2"/>
    </row>
    <row r="2" spans="3:8" ht="16.5" customHeight="1">
      <c r="C2" s="94" t="s">
        <v>223</v>
      </c>
      <c r="D2" s="94"/>
      <c r="E2" s="95"/>
      <c r="G2" s="81" t="s">
        <v>538</v>
      </c>
      <c r="H2" s="2"/>
    </row>
    <row r="3" spans="3:8" ht="16.5" customHeight="1">
      <c r="C3" s="94"/>
      <c r="D3" s="94"/>
      <c r="E3" s="95"/>
      <c r="G3" s="81" t="s">
        <v>179</v>
      </c>
      <c r="H3" s="2"/>
    </row>
    <row r="4" spans="4:8" ht="16.5" customHeight="1">
      <c r="D4" s="84"/>
      <c r="G4" s="81" t="s">
        <v>361</v>
      </c>
      <c r="H4" s="2"/>
    </row>
    <row r="5" ht="12.75">
      <c r="D5" s="84"/>
    </row>
    <row r="6" ht="13.5" thickBot="1">
      <c r="H6" s="93" t="s">
        <v>245</v>
      </c>
    </row>
    <row r="7" spans="1:8" ht="17.25" customHeight="1" thickTop="1">
      <c r="A7" s="96"/>
      <c r="B7" s="96"/>
      <c r="C7" s="96"/>
      <c r="D7" s="97"/>
      <c r="E7" s="777" t="s">
        <v>175</v>
      </c>
      <c r="F7" s="98"/>
      <c r="G7" s="98"/>
      <c r="H7" s="98"/>
    </row>
    <row r="8" spans="1:8" ht="15.75" customHeight="1">
      <c r="A8" s="99"/>
      <c r="B8" s="99"/>
      <c r="C8" s="99"/>
      <c r="D8" s="100" t="s">
        <v>256</v>
      </c>
      <c r="E8" s="778"/>
      <c r="F8" s="102"/>
      <c r="G8" s="101"/>
      <c r="H8" s="102" t="s">
        <v>255</v>
      </c>
    </row>
    <row r="9" spans="1:8" ht="15.75" customHeight="1">
      <c r="A9" s="100" t="s">
        <v>241</v>
      </c>
      <c r="B9" s="100" t="s">
        <v>258</v>
      </c>
      <c r="C9" s="100" t="s">
        <v>243</v>
      </c>
      <c r="D9" s="484" t="s">
        <v>259</v>
      </c>
      <c r="E9" s="778"/>
      <c r="F9" s="102" t="s">
        <v>250</v>
      </c>
      <c r="G9" s="101" t="s">
        <v>251</v>
      </c>
      <c r="H9" s="102" t="s">
        <v>257</v>
      </c>
    </row>
    <row r="10" spans="1:8" ht="32.25" customHeight="1" thickBot="1">
      <c r="A10" s="103"/>
      <c r="B10" s="103"/>
      <c r="C10" s="103"/>
      <c r="D10" s="87"/>
      <c r="E10" s="779"/>
      <c r="F10" s="104"/>
      <c r="G10" s="101"/>
      <c r="H10" s="104"/>
    </row>
    <row r="11" spans="1:8" s="107" customFormat="1" ht="14.25" customHeight="1" thickBot="1" thickTop="1">
      <c r="A11" s="105">
        <v>1</v>
      </c>
      <c r="B11" s="105">
        <v>2</v>
      </c>
      <c r="C11" s="105">
        <v>3</v>
      </c>
      <c r="D11" s="105">
        <v>4</v>
      </c>
      <c r="E11" s="106">
        <v>5</v>
      </c>
      <c r="F11" s="106">
        <v>6</v>
      </c>
      <c r="G11" s="106">
        <v>7</v>
      </c>
      <c r="H11" s="106">
        <v>8</v>
      </c>
    </row>
    <row r="12" spans="1:9" ht="20.25" customHeight="1" thickBot="1" thickTop="1">
      <c r="A12" s="108"/>
      <c r="B12" s="108"/>
      <c r="C12" s="108"/>
      <c r="D12" s="109" t="s">
        <v>260</v>
      </c>
      <c r="E12" s="110">
        <v>651113203</v>
      </c>
      <c r="F12" s="110">
        <f>F14+F203+F204</f>
        <v>1580935</v>
      </c>
      <c r="G12" s="110">
        <f>G14+G203+G204</f>
        <v>2294534</v>
      </c>
      <c r="H12" s="110">
        <f>E12-F12+G12</f>
        <v>651826802</v>
      </c>
      <c r="I12" s="93">
        <f>G12-F12</f>
        <v>713599</v>
      </c>
    </row>
    <row r="13" spans="1:8" ht="19.5" customHeight="1">
      <c r="A13" s="111"/>
      <c r="B13" s="111"/>
      <c r="C13" s="111"/>
      <c r="D13" s="112" t="s">
        <v>224</v>
      </c>
      <c r="E13" s="113"/>
      <c r="F13" s="114"/>
      <c r="G13" s="113"/>
      <c r="H13" s="114"/>
    </row>
    <row r="14" spans="1:8" ht="19.5" customHeight="1" thickBot="1">
      <c r="A14" s="115"/>
      <c r="B14" s="115"/>
      <c r="C14" s="115"/>
      <c r="D14" s="116" t="s">
        <v>261</v>
      </c>
      <c r="E14" s="117">
        <v>594481493</v>
      </c>
      <c r="F14" s="117">
        <f>F15+F19+F28+F48+F56+F72+F76+F92+F158+F169+F182+F196</f>
        <v>1564935</v>
      </c>
      <c r="G14" s="117">
        <f>G15+G19+G28+G48+G56+G72+G76+G92+G158+G169+G182+G196</f>
        <v>2269683</v>
      </c>
      <c r="H14" s="117">
        <f>E14-F14+G14</f>
        <v>595186241</v>
      </c>
    </row>
    <row r="15" spans="1:8" ht="18.75" customHeight="1" thickTop="1">
      <c r="A15" s="554" t="s">
        <v>360</v>
      </c>
      <c r="B15" s="72"/>
      <c r="C15" s="72"/>
      <c r="D15" s="72" t="s">
        <v>188</v>
      </c>
      <c r="E15" s="73">
        <v>3000</v>
      </c>
      <c r="F15" s="73"/>
      <c r="G15" s="73">
        <f>G16</f>
        <v>1000</v>
      </c>
      <c r="H15" s="73">
        <f>G15+E15-F15</f>
        <v>4000</v>
      </c>
    </row>
    <row r="16" spans="1:8" ht="18.75" customHeight="1">
      <c r="A16" s="64"/>
      <c r="B16" s="496" t="s">
        <v>189</v>
      </c>
      <c r="C16" s="71"/>
      <c r="D16" s="71" t="s">
        <v>190</v>
      </c>
      <c r="E16" s="77">
        <v>3000</v>
      </c>
      <c r="F16" s="77"/>
      <c r="G16" s="77">
        <f>G17</f>
        <v>1000</v>
      </c>
      <c r="H16" s="77">
        <f>G16+E16-F16</f>
        <v>4000</v>
      </c>
    </row>
    <row r="17" spans="1:8" ht="18.75" customHeight="1">
      <c r="A17" s="64"/>
      <c r="B17" s="64"/>
      <c r="C17" s="64"/>
      <c r="D17" s="126" t="s">
        <v>191</v>
      </c>
      <c r="E17" s="92">
        <v>3000</v>
      </c>
      <c r="F17" s="92"/>
      <c r="G17" s="92">
        <f>G18</f>
        <v>1000</v>
      </c>
      <c r="H17" s="92">
        <f>G17+E17-F17</f>
        <v>4000</v>
      </c>
    </row>
    <row r="18" spans="1:8" ht="19.5" customHeight="1">
      <c r="A18" s="111"/>
      <c r="B18" s="111"/>
      <c r="C18" s="63">
        <v>4300</v>
      </c>
      <c r="D18" s="129" t="s">
        <v>262</v>
      </c>
      <c r="E18" s="489">
        <v>3000</v>
      </c>
      <c r="F18" s="489"/>
      <c r="G18" s="489">
        <v>1000</v>
      </c>
      <c r="H18" s="489">
        <f>E18-F18+G18</f>
        <v>4000</v>
      </c>
    </row>
    <row r="19" spans="1:8" ht="18.75" customHeight="1">
      <c r="A19" s="67">
        <v>600</v>
      </c>
      <c r="B19" s="67"/>
      <c r="C19" s="72"/>
      <c r="D19" s="72" t="s">
        <v>291</v>
      </c>
      <c r="E19" s="73">
        <v>54787703</v>
      </c>
      <c r="F19" s="73">
        <f>F20+F24</f>
        <v>20000</v>
      </c>
      <c r="G19" s="73">
        <f>G20+G24</f>
        <v>20000</v>
      </c>
      <c r="H19" s="73">
        <f>G19+E19-F19</f>
        <v>54787703</v>
      </c>
    </row>
    <row r="20" spans="1:8" ht="18.75" customHeight="1">
      <c r="A20" s="64"/>
      <c r="B20" s="71">
        <v>60015</v>
      </c>
      <c r="C20" s="71"/>
      <c r="D20" s="71" t="s">
        <v>292</v>
      </c>
      <c r="E20" s="77">
        <v>25361000</v>
      </c>
      <c r="F20" s="77">
        <f>F21</f>
        <v>10000</v>
      </c>
      <c r="G20" s="77">
        <f>G21</f>
        <v>10000</v>
      </c>
      <c r="H20" s="77">
        <f>G20+E20-F20</f>
        <v>25361000</v>
      </c>
    </row>
    <row r="21" spans="1:8" ht="18.75" customHeight="1">
      <c r="A21" s="64"/>
      <c r="B21" s="64"/>
      <c r="C21" s="64"/>
      <c r="D21" s="126" t="s">
        <v>192</v>
      </c>
      <c r="E21" s="92">
        <v>4150000</v>
      </c>
      <c r="F21" s="92">
        <f>F22</f>
        <v>10000</v>
      </c>
      <c r="G21" s="92">
        <f>G23</f>
        <v>10000</v>
      </c>
      <c r="H21" s="92">
        <f>G21+E21-F21</f>
        <v>4150000</v>
      </c>
    </row>
    <row r="22" spans="1:8" ht="19.5" customHeight="1">
      <c r="A22" s="111"/>
      <c r="B22" s="111"/>
      <c r="C22" s="63">
        <v>4300</v>
      </c>
      <c r="D22" s="129" t="s">
        <v>262</v>
      </c>
      <c r="E22" s="489">
        <v>3797300</v>
      </c>
      <c r="F22" s="489">
        <v>10000</v>
      </c>
      <c r="G22" s="489"/>
      <c r="H22" s="489">
        <f>E22-F22+G22</f>
        <v>3787300</v>
      </c>
    </row>
    <row r="23" spans="1:8" ht="19.5" customHeight="1">
      <c r="A23" s="111"/>
      <c r="B23" s="111"/>
      <c r="C23" s="63">
        <v>4590</v>
      </c>
      <c r="D23" s="129" t="s">
        <v>265</v>
      </c>
      <c r="E23" s="489"/>
      <c r="F23" s="489"/>
      <c r="G23" s="489">
        <v>10000</v>
      </c>
      <c r="H23" s="489">
        <f>E23-F23+G23</f>
        <v>10000</v>
      </c>
    </row>
    <row r="24" spans="1:8" ht="18.75" customHeight="1">
      <c r="A24" s="64"/>
      <c r="B24" s="71">
        <v>60016</v>
      </c>
      <c r="C24" s="71"/>
      <c r="D24" s="71" t="s">
        <v>293</v>
      </c>
      <c r="E24" s="77">
        <v>7039000</v>
      </c>
      <c r="F24" s="77">
        <f>F25</f>
        <v>10000</v>
      </c>
      <c r="G24" s="77">
        <f>G25</f>
        <v>10000</v>
      </c>
      <c r="H24" s="77">
        <f>G24+E24-F24</f>
        <v>7039000</v>
      </c>
    </row>
    <row r="25" spans="1:8" ht="18.75" customHeight="1">
      <c r="A25" s="64"/>
      <c r="B25" s="64"/>
      <c r="C25" s="64"/>
      <c r="D25" s="126" t="s">
        <v>192</v>
      </c>
      <c r="E25" s="92">
        <v>2340000</v>
      </c>
      <c r="F25" s="92">
        <f>F26</f>
        <v>10000</v>
      </c>
      <c r="G25" s="92">
        <f>G27</f>
        <v>10000</v>
      </c>
      <c r="H25" s="92">
        <f>G25+E25-F25</f>
        <v>2340000</v>
      </c>
    </row>
    <row r="26" spans="1:8" ht="19.5" customHeight="1">
      <c r="A26" s="111"/>
      <c r="B26" s="111"/>
      <c r="C26" s="63">
        <v>4300</v>
      </c>
      <c r="D26" s="129" t="s">
        <v>262</v>
      </c>
      <c r="E26" s="489">
        <v>2332000</v>
      </c>
      <c r="F26" s="489">
        <v>10000</v>
      </c>
      <c r="G26" s="489"/>
      <c r="H26" s="489">
        <f aca="true" t="shared" si="0" ref="H26:H47">E26-F26+G26</f>
        <v>2322000</v>
      </c>
    </row>
    <row r="27" spans="1:8" ht="19.5" customHeight="1">
      <c r="A27" s="111"/>
      <c r="B27" s="111"/>
      <c r="C27" s="63">
        <v>4590</v>
      </c>
      <c r="D27" s="129" t="s">
        <v>265</v>
      </c>
      <c r="E27" s="489"/>
      <c r="F27" s="489"/>
      <c r="G27" s="489">
        <v>10000</v>
      </c>
      <c r="H27" s="489">
        <f t="shared" si="0"/>
        <v>10000</v>
      </c>
    </row>
    <row r="28" spans="1:8" ht="18.75" customHeight="1">
      <c r="A28" s="67">
        <v>700</v>
      </c>
      <c r="B28" s="67"/>
      <c r="C28" s="72"/>
      <c r="D28" s="72" t="s">
        <v>308</v>
      </c>
      <c r="E28" s="73">
        <v>9938000</v>
      </c>
      <c r="F28" s="73">
        <f>F29+F40+F44</f>
        <v>295891</v>
      </c>
      <c r="G28" s="73">
        <f>G29+G40+G44</f>
        <v>295891</v>
      </c>
      <c r="H28" s="29">
        <f t="shared" si="0"/>
        <v>9938000</v>
      </c>
    </row>
    <row r="29" spans="1:8" ht="18.75" customHeight="1">
      <c r="A29" s="683"/>
      <c r="B29" s="71">
        <v>70001</v>
      </c>
      <c r="C29" s="71"/>
      <c r="D29" s="71" t="s">
        <v>521</v>
      </c>
      <c r="E29" s="77">
        <v>5200000</v>
      </c>
      <c r="F29" s="77">
        <f>F30</f>
        <v>200000</v>
      </c>
      <c r="G29" s="77">
        <f>G30</f>
        <v>200000</v>
      </c>
      <c r="H29" s="707">
        <f t="shared" si="0"/>
        <v>5200000</v>
      </c>
    </row>
    <row r="30" spans="1:8" ht="18.75" customHeight="1">
      <c r="A30" s="683"/>
      <c r="B30" s="64"/>
      <c r="C30" s="64"/>
      <c r="D30" s="40" t="s">
        <v>533</v>
      </c>
      <c r="E30" s="76">
        <v>5200000</v>
      </c>
      <c r="F30" s="76">
        <f>F31+F35</f>
        <v>200000</v>
      </c>
      <c r="G30" s="76">
        <f>G31+G35</f>
        <v>200000</v>
      </c>
      <c r="H30" s="709">
        <f t="shared" si="0"/>
        <v>5200000</v>
      </c>
    </row>
    <row r="31" spans="1:8" ht="18.75" customHeight="1">
      <c r="A31" s="684"/>
      <c r="B31" s="85"/>
      <c r="C31" s="726"/>
      <c r="D31" s="679" t="s">
        <v>523</v>
      </c>
      <c r="E31" s="231">
        <v>2420000</v>
      </c>
      <c r="F31" s="231">
        <f>F32</f>
        <v>100000</v>
      </c>
      <c r="G31" s="231">
        <f>G32</f>
        <v>100000</v>
      </c>
      <c r="H31" s="708">
        <f t="shared" si="0"/>
        <v>2420000</v>
      </c>
    </row>
    <row r="32" spans="1:8" ht="18.75" customHeight="1">
      <c r="A32" s="683"/>
      <c r="B32" s="64"/>
      <c r="C32" s="689"/>
      <c r="D32" s="680" t="s">
        <v>524</v>
      </c>
      <c r="E32" s="690">
        <v>2265000</v>
      </c>
      <c r="F32" s="690">
        <f>F33</f>
        <v>100000</v>
      </c>
      <c r="G32" s="690">
        <f>G34</f>
        <v>100000</v>
      </c>
      <c r="H32" s="692">
        <f t="shared" si="0"/>
        <v>2265000</v>
      </c>
    </row>
    <row r="33" spans="1:8" ht="18.75" customHeight="1">
      <c r="A33" s="683"/>
      <c r="B33" s="64"/>
      <c r="C33" s="689"/>
      <c r="D33" s="499" t="s">
        <v>525</v>
      </c>
      <c r="E33" s="92">
        <v>1785000</v>
      </c>
      <c r="F33" s="92">
        <v>100000</v>
      </c>
      <c r="G33" s="92"/>
      <c r="H33" s="710">
        <f t="shared" si="0"/>
        <v>1685000</v>
      </c>
    </row>
    <row r="34" spans="1:8" ht="18.75" customHeight="1">
      <c r="A34" s="683"/>
      <c r="B34" s="64"/>
      <c r="C34" s="689"/>
      <c r="D34" s="499" t="s">
        <v>526</v>
      </c>
      <c r="E34" s="92">
        <v>480000</v>
      </c>
      <c r="F34" s="92"/>
      <c r="G34" s="92">
        <v>100000</v>
      </c>
      <c r="H34" s="711">
        <f t="shared" si="0"/>
        <v>580000</v>
      </c>
    </row>
    <row r="35" spans="1:8" ht="18.75" customHeight="1">
      <c r="A35" s="683"/>
      <c r="B35" s="64"/>
      <c r="C35" s="689"/>
      <c r="D35" s="681" t="s">
        <v>41</v>
      </c>
      <c r="E35" s="231">
        <v>390000</v>
      </c>
      <c r="F35" s="231">
        <f>F36</f>
        <v>100000</v>
      </c>
      <c r="G35" s="231">
        <f>G36</f>
        <v>100000</v>
      </c>
      <c r="H35" s="706">
        <f t="shared" si="0"/>
        <v>390000</v>
      </c>
    </row>
    <row r="36" spans="1:8" ht="18.75" customHeight="1">
      <c r="A36" s="683"/>
      <c r="B36" s="64"/>
      <c r="C36" s="689"/>
      <c r="D36" s="680" t="s">
        <v>524</v>
      </c>
      <c r="E36" s="690">
        <v>320000</v>
      </c>
      <c r="F36" s="690">
        <f>F37</f>
        <v>100000</v>
      </c>
      <c r="G36" s="690">
        <f>G38</f>
        <v>100000</v>
      </c>
      <c r="H36" s="693">
        <f t="shared" si="0"/>
        <v>320000</v>
      </c>
    </row>
    <row r="37" spans="1:8" ht="18.75" customHeight="1">
      <c r="A37" s="683"/>
      <c r="B37" s="64"/>
      <c r="C37" s="689"/>
      <c r="D37" s="137" t="s">
        <v>525</v>
      </c>
      <c r="E37" s="138">
        <v>230000</v>
      </c>
      <c r="F37" s="138">
        <v>100000</v>
      </c>
      <c r="G37" s="138"/>
      <c r="H37" s="709">
        <f t="shared" si="0"/>
        <v>130000</v>
      </c>
    </row>
    <row r="38" spans="1:8" ht="18.75" customHeight="1">
      <c r="A38" s="683"/>
      <c r="B38" s="64"/>
      <c r="C38" s="689"/>
      <c r="D38" s="499" t="s">
        <v>526</v>
      </c>
      <c r="E38" s="92">
        <v>90000</v>
      </c>
      <c r="F38" s="92"/>
      <c r="G38" s="92">
        <v>100000</v>
      </c>
      <c r="H38" s="711">
        <f t="shared" si="0"/>
        <v>190000</v>
      </c>
    </row>
    <row r="39" spans="1:8" ht="18.75" customHeight="1">
      <c r="A39" s="683"/>
      <c r="B39" s="64"/>
      <c r="C39" s="127">
        <v>2650</v>
      </c>
      <c r="D39" s="119" t="s">
        <v>42</v>
      </c>
      <c r="E39" s="75">
        <v>4900000</v>
      </c>
      <c r="F39" s="75">
        <f>F30</f>
        <v>200000</v>
      </c>
      <c r="G39" s="75">
        <f>G30</f>
        <v>200000</v>
      </c>
      <c r="H39" s="691">
        <f t="shared" si="0"/>
        <v>4900000</v>
      </c>
    </row>
    <row r="40" spans="1:8" ht="18.75" customHeight="1">
      <c r="A40" s="64"/>
      <c r="B40" s="71">
        <v>70004</v>
      </c>
      <c r="C40" s="206"/>
      <c r="D40" s="42" t="s">
        <v>110</v>
      </c>
      <c r="E40" s="77">
        <v>125000</v>
      </c>
      <c r="F40" s="77">
        <f>F41</f>
        <v>891</v>
      </c>
      <c r="G40" s="77">
        <f>G41</f>
        <v>891</v>
      </c>
      <c r="H40" s="77">
        <f>E40-F40+G40</f>
        <v>125000</v>
      </c>
    </row>
    <row r="41" spans="1:8" ht="27.75" customHeight="1">
      <c r="A41" s="64"/>
      <c r="B41" s="64"/>
      <c r="C41" s="64"/>
      <c r="D41" s="40" t="s">
        <v>43</v>
      </c>
      <c r="E41" s="76">
        <v>25000</v>
      </c>
      <c r="F41" s="76">
        <f>F42</f>
        <v>891</v>
      </c>
      <c r="G41" s="76">
        <f>G43</f>
        <v>891</v>
      </c>
      <c r="H41" s="76">
        <f>E41-F41+G41</f>
        <v>25000</v>
      </c>
    </row>
    <row r="42" spans="1:8" ht="21" customHeight="1">
      <c r="A42" s="64"/>
      <c r="B42" s="64"/>
      <c r="C42" s="119">
        <v>4300</v>
      </c>
      <c r="D42" s="119" t="s">
        <v>262</v>
      </c>
      <c r="E42" s="75">
        <v>25000</v>
      </c>
      <c r="F42" s="75">
        <v>891</v>
      </c>
      <c r="G42" s="75"/>
      <c r="H42" s="75">
        <f>E42-F42+G42</f>
        <v>24109</v>
      </c>
    </row>
    <row r="43" spans="1:8" ht="21" customHeight="1">
      <c r="A43" s="64"/>
      <c r="B43" s="64"/>
      <c r="C43" s="119">
        <v>4590</v>
      </c>
      <c r="D43" s="119" t="s">
        <v>265</v>
      </c>
      <c r="E43" s="75"/>
      <c r="F43" s="75"/>
      <c r="G43" s="75">
        <v>891</v>
      </c>
      <c r="H43" s="75">
        <f>E43-F43+G43</f>
        <v>891</v>
      </c>
    </row>
    <row r="44" spans="1:8" ht="21" customHeight="1">
      <c r="A44" s="64"/>
      <c r="B44" s="71">
        <v>70005</v>
      </c>
      <c r="C44" s="71"/>
      <c r="D44" s="71" t="s">
        <v>322</v>
      </c>
      <c r="E44" s="77">
        <v>910000</v>
      </c>
      <c r="F44" s="77">
        <f>F45</f>
        <v>95000</v>
      </c>
      <c r="G44" s="77">
        <f>G45</f>
        <v>95000</v>
      </c>
      <c r="H44" s="77">
        <f t="shared" si="0"/>
        <v>910000</v>
      </c>
    </row>
    <row r="45" spans="1:8" ht="27.75" customHeight="1">
      <c r="A45" s="64"/>
      <c r="B45" s="64"/>
      <c r="C45" s="64"/>
      <c r="D45" s="40" t="s">
        <v>321</v>
      </c>
      <c r="E45" s="92">
        <v>410000</v>
      </c>
      <c r="F45" s="92">
        <f>F47</f>
        <v>95000</v>
      </c>
      <c r="G45" s="92">
        <f>G46</f>
        <v>95000</v>
      </c>
      <c r="H45" s="92">
        <f t="shared" si="0"/>
        <v>410000</v>
      </c>
    </row>
    <row r="46" spans="1:8" ht="18.75" customHeight="1">
      <c r="A46" s="64"/>
      <c r="B46" s="64"/>
      <c r="C46" s="61">
        <v>4270</v>
      </c>
      <c r="D46" s="129" t="s">
        <v>0</v>
      </c>
      <c r="E46" s="75"/>
      <c r="F46" s="75"/>
      <c r="G46" s="75">
        <v>95000</v>
      </c>
      <c r="H46" s="75">
        <f t="shared" si="0"/>
        <v>95000</v>
      </c>
    </row>
    <row r="47" spans="1:8" ht="18.75" customHeight="1">
      <c r="A47" s="85"/>
      <c r="B47" s="85"/>
      <c r="C47" s="125">
        <v>4300</v>
      </c>
      <c r="D47" s="129" t="s">
        <v>262</v>
      </c>
      <c r="E47" s="75">
        <v>360000</v>
      </c>
      <c r="F47" s="75">
        <v>95000</v>
      </c>
      <c r="G47" s="75"/>
      <c r="H47" s="75">
        <f t="shared" si="0"/>
        <v>265000</v>
      </c>
    </row>
    <row r="48" spans="1:8" ht="18.75" customHeight="1" hidden="1">
      <c r="A48" s="72">
        <v>750</v>
      </c>
      <c r="B48" s="72"/>
      <c r="C48" s="72"/>
      <c r="D48" s="72" t="s">
        <v>294</v>
      </c>
      <c r="E48" s="73">
        <v>45335000</v>
      </c>
      <c r="F48" s="73"/>
      <c r="G48" s="73"/>
      <c r="H48" s="73">
        <f aca="true" t="shared" si="1" ref="H48:H82">G48+E48-F48</f>
        <v>45335000</v>
      </c>
    </row>
    <row r="49" spans="1:8" ht="18.75" customHeight="1" hidden="1">
      <c r="A49" s="64"/>
      <c r="B49" s="71">
        <v>75095</v>
      </c>
      <c r="C49" s="71"/>
      <c r="D49" s="71" t="s">
        <v>225</v>
      </c>
      <c r="E49" s="77">
        <v>885000</v>
      </c>
      <c r="F49" s="77"/>
      <c r="G49" s="77"/>
      <c r="H49" s="77">
        <f t="shared" si="1"/>
        <v>885000</v>
      </c>
    </row>
    <row r="50" spans="1:8" ht="18.75" customHeight="1" hidden="1">
      <c r="A50" s="64"/>
      <c r="B50" s="65"/>
      <c r="C50" s="65"/>
      <c r="D50" s="121" t="s">
        <v>161</v>
      </c>
      <c r="E50" s="76">
        <v>860000</v>
      </c>
      <c r="F50" s="76"/>
      <c r="G50" s="76"/>
      <c r="H50" s="92">
        <f t="shared" si="1"/>
        <v>860000</v>
      </c>
    </row>
    <row r="51" spans="1:8" ht="18.75" customHeight="1" hidden="1">
      <c r="A51" s="64"/>
      <c r="B51" s="64"/>
      <c r="C51" s="64"/>
      <c r="D51" s="467" t="s">
        <v>119</v>
      </c>
      <c r="E51" s="468"/>
      <c r="F51" s="468"/>
      <c r="G51" s="468"/>
      <c r="H51" s="468">
        <f t="shared" si="1"/>
        <v>0</v>
      </c>
    </row>
    <row r="52" spans="1:8" ht="18.75" customHeight="1" hidden="1">
      <c r="A52" s="64"/>
      <c r="B52" s="64"/>
      <c r="C52" s="63">
        <v>4210</v>
      </c>
      <c r="D52" s="495" t="s">
        <v>270</v>
      </c>
      <c r="E52" s="123"/>
      <c r="F52" s="123"/>
      <c r="G52" s="123"/>
      <c r="H52" s="134">
        <f t="shared" si="1"/>
        <v>0</v>
      </c>
    </row>
    <row r="53" spans="1:8" ht="18.75" customHeight="1" hidden="1">
      <c r="A53" s="64"/>
      <c r="B53" s="64"/>
      <c r="C53" s="120">
        <v>4410</v>
      </c>
      <c r="D53" s="120" t="s">
        <v>271</v>
      </c>
      <c r="E53" s="124"/>
      <c r="F53" s="124"/>
      <c r="G53" s="124"/>
      <c r="H53" s="75">
        <f t="shared" si="1"/>
        <v>0</v>
      </c>
    </row>
    <row r="54" spans="1:8" ht="18.75" customHeight="1" hidden="1">
      <c r="A54" s="64"/>
      <c r="B54" s="64"/>
      <c r="C54" s="120">
        <v>4420</v>
      </c>
      <c r="D54" s="120" t="s">
        <v>272</v>
      </c>
      <c r="E54" s="124"/>
      <c r="F54" s="124"/>
      <c r="G54" s="124"/>
      <c r="H54" s="75">
        <f t="shared" si="1"/>
        <v>0</v>
      </c>
    </row>
    <row r="55" spans="1:8" ht="18.75" customHeight="1" hidden="1">
      <c r="A55" s="85"/>
      <c r="B55" s="85"/>
      <c r="C55" s="125">
        <v>4430</v>
      </c>
      <c r="D55" s="125" t="s">
        <v>278</v>
      </c>
      <c r="E55" s="75"/>
      <c r="F55" s="75"/>
      <c r="G55" s="75"/>
      <c r="H55" s="75">
        <f t="shared" si="1"/>
        <v>0</v>
      </c>
    </row>
    <row r="56" spans="1:8" ht="18.75" customHeight="1">
      <c r="A56" s="72">
        <v>754</v>
      </c>
      <c r="B56" s="72"/>
      <c r="C56" s="72"/>
      <c r="D56" s="72" t="s">
        <v>314</v>
      </c>
      <c r="E56" s="73">
        <v>4521000</v>
      </c>
      <c r="F56" s="73">
        <f>F57+F61</f>
        <v>46416</v>
      </c>
      <c r="G56" s="73">
        <f>G57+G61</f>
        <v>46416</v>
      </c>
      <c r="H56" s="73">
        <f t="shared" si="1"/>
        <v>4521000</v>
      </c>
    </row>
    <row r="57" spans="1:8" ht="19.5" customHeight="1">
      <c r="A57" s="64"/>
      <c r="B57" s="71">
        <v>75412</v>
      </c>
      <c r="C57" s="71"/>
      <c r="D57" s="71" t="s">
        <v>163</v>
      </c>
      <c r="E57" s="77">
        <v>35000</v>
      </c>
      <c r="F57" s="77">
        <f>F58</f>
        <v>271</v>
      </c>
      <c r="G57" s="77">
        <f>G58</f>
        <v>271</v>
      </c>
      <c r="H57" s="77">
        <f t="shared" si="1"/>
        <v>35000</v>
      </c>
    </row>
    <row r="58" spans="1:8" ht="27.75" customHeight="1">
      <c r="A58" s="64"/>
      <c r="B58" s="65"/>
      <c r="C58" s="65"/>
      <c r="D58" s="40" t="s">
        <v>169</v>
      </c>
      <c r="E58" s="76">
        <v>35000</v>
      </c>
      <c r="F58" s="76">
        <f>F59</f>
        <v>271</v>
      </c>
      <c r="G58" s="76">
        <f>G60</f>
        <v>271</v>
      </c>
      <c r="H58" s="76">
        <f t="shared" si="1"/>
        <v>35000</v>
      </c>
    </row>
    <row r="59" spans="1:8" ht="21.75" customHeight="1">
      <c r="A59" s="64"/>
      <c r="B59" s="64"/>
      <c r="C59" s="63">
        <v>3030</v>
      </c>
      <c r="D59" s="63" t="s">
        <v>173</v>
      </c>
      <c r="E59" s="75">
        <v>3000</v>
      </c>
      <c r="F59" s="75">
        <v>271</v>
      </c>
      <c r="G59" s="75"/>
      <c r="H59" s="75">
        <f t="shared" si="1"/>
        <v>2729</v>
      </c>
    </row>
    <row r="60" spans="1:8" ht="21" customHeight="1">
      <c r="A60" s="64"/>
      <c r="B60" s="85"/>
      <c r="C60" s="125">
        <v>4430</v>
      </c>
      <c r="D60" s="130" t="s">
        <v>278</v>
      </c>
      <c r="E60" s="75">
        <v>5000</v>
      </c>
      <c r="F60" s="75"/>
      <c r="G60" s="75">
        <v>271</v>
      </c>
      <c r="H60" s="75">
        <f t="shared" si="1"/>
        <v>5271</v>
      </c>
    </row>
    <row r="61" spans="1:8" ht="21.75" customHeight="1">
      <c r="A61" s="64"/>
      <c r="B61" s="71">
        <v>75416</v>
      </c>
      <c r="C61" s="71"/>
      <c r="D61" s="71" t="s">
        <v>164</v>
      </c>
      <c r="E61" s="77">
        <v>3836000</v>
      </c>
      <c r="F61" s="77">
        <f>F62+F65+F70</f>
        <v>46145</v>
      </c>
      <c r="G61" s="77">
        <f>G62+G65+G70</f>
        <v>46145</v>
      </c>
      <c r="H61" s="77">
        <f t="shared" si="1"/>
        <v>3836000</v>
      </c>
    </row>
    <row r="62" spans="1:8" ht="21" customHeight="1">
      <c r="A62" s="64"/>
      <c r="B62" s="65"/>
      <c r="C62" s="65"/>
      <c r="D62" s="121" t="s">
        <v>273</v>
      </c>
      <c r="E62" s="76">
        <v>2800000</v>
      </c>
      <c r="F62" s="76">
        <f>F63</f>
        <v>8645</v>
      </c>
      <c r="G62" s="76">
        <f>G64</f>
        <v>8645</v>
      </c>
      <c r="H62" s="92">
        <f>G62+E62-F62</f>
        <v>2800000</v>
      </c>
    </row>
    <row r="63" spans="1:8" ht="20.25" customHeight="1">
      <c r="A63" s="64"/>
      <c r="B63" s="64"/>
      <c r="C63" s="63">
        <v>4010</v>
      </c>
      <c r="D63" s="495" t="s">
        <v>274</v>
      </c>
      <c r="E63" s="75">
        <v>2600000</v>
      </c>
      <c r="F63" s="75">
        <v>8645</v>
      </c>
      <c r="G63" s="75"/>
      <c r="H63" s="75">
        <f>G63+E63-F63</f>
        <v>2591355</v>
      </c>
    </row>
    <row r="64" spans="1:8" ht="20.25" customHeight="1">
      <c r="A64" s="64"/>
      <c r="B64" s="64"/>
      <c r="C64" s="63">
        <v>4040</v>
      </c>
      <c r="D64" s="495" t="s">
        <v>275</v>
      </c>
      <c r="E64" s="75">
        <v>200000</v>
      </c>
      <c r="F64" s="75"/>
      <c r="G64" s="75">
        <v>8645</v>
      </c>
      <c r="H64" s="75">
        <f>G64+E64-F64</f>
        <v>208645</v>
      </c>
    </row>
    <row r="65" spans="1:8" ht="21" customHeight="1">
      <c r="A65" s="64"/>
      <c r="B65" s="64"/>
      <c r="C65" s="65"/>
      <c r="D65" s="121" t="s">
        <v>276</v>
      </c>
      <c r="E65" s="76">
        <v>471000</v>
      </c>
      <c r="F65" s="76">
        <f>SUM(F66:F69)</f>
        <v>37500</v>
      </c>
      <c r="G65" s="76">
        <f>SUM(G66:G69)</f>
        <v>25500</v>
      </c>
      <c r="H65" s="92">
        <f t="shared" si="1"/>
        <v>459000</v>
      </c>
    </row>
    <row r="66" spans="1:8" ht="21" customHeight="1">
      <c r="A66" s="85"/>
      <c r="B66" s="85"/>
      <c r="C66" s="63">
        <v>3020</v>
      </c>
      <c r="D66" s="495" t="s">
        <v>277</v>
      </c>
      <c r="E66" s="75">
        <v>80000</v>
      </c>
      <c r="F66" s="75"/>
      <c r="G66" s="75">
        <v>25500</v>
      </c>
      <c r="H66" s="75">
        <f t="shared" si="1"/>
        <v>105500</v>
      </c>
    </row>
    <row r="67" spans="1:8" ht="21" customHeight="1">
      <c r="A67" s="64"/>
      <c r="B67" s="64"/>
      <c r="C67" s="63">
        <v>4210</v>
      </c>
      <c r="D67" s="63" t="s">
        <v>270</v>
      </c>
      <c r="E67" s="75">
        <v>160000</v>
      </c>
      <c r="F67" s="75">
        <v>20000</v>
      </c>
      <c r="G67" s="75"/>
      <c r="H67" s="75">
        <f>G67+E67-F67</f>
        <v>140000</v>
      </c>
    </row>
    <row r="68" spans="1:8" ht="21" customHeight="1">
      <c r="A68" s="64"/>
      <c r="B68" s="64"/>
      <c r="C68" s="63">
        <v>4300</v>
      </c>
      <c r="D68" s="495" t="s">
        <v>262</v>
      </c>
      <c r="E68" s="75">
        <v>120000</v>
      </c>
      <c r="F68" s="75">
        <v>12000</v>
      </c>
      <c r="G68" s="75"/>
      <c r="H68" s="75">
        <f>G68+E68-F68</f>
        <v>108000</v>
      </c>
    </row>
    <row r="69" spans="1:8" ht="21" customHeight="1">
      <c r="A69" s="64"/>
      <c r="B69" s="64"/>
      <c r="C69" s="63">
        <v>4430</v>
      </c>
      <c r="D69" s="495" t="s">
        <v>278</v>
      </c>
      <c r="E69" s="75">
        <v>15000</v>
      </c>
      <c r="F69" s="75">
        <v>5500</v>
      </c>
      <c r="G69" s="75"/>
      <c r="H69" s="75">
        <f>G69+E69-F69</f>
        <v>9500</v>
      </c>
    </row>
    <row r="70" spans="1:8" ht="21" customHeight="1">
      <c r="A70" s="64"/>
      <c r="B70" s="64"/>
      <c r="C70" s="65"/>
      <c r="D70" s="121" t="s">
        <v>1</v>
      </c>
      <c r="E70" s="76"/>
      <c r="F70" s="76"/>
      <c r="G70" s="76">
        <f>G71</f>
        <v>12000</v>
      </c>
      <c r="H70" s="92">
        <f>G70+E70-F70</f>
        <v>12000</v>
      </c>
    </row>
    <row r="71" spans="1:8" ht="21" customHeight="1">
      <c r="A71" s="85"/>
      <c r="B71" s="85"/>
      <c r="C71" s="63">
        <v>6060</v>
      </c>
      <c r="D71" s="495" t="s">
        <v>267</v>
      </c>
      <c r="E71" s="75"/>
      <c r="F71" s="75"/>
      <c r="G71" s="75">
        <v>12000</v>
      </c>
      <c r="H71" s="75">
        <f>G71+E71-F71</f>
        <v>12000</v>
      </c>
    </row>
    <row r="72" spans="1:10" ht="21" customHeight="1">
      <c r="A72" s="72">
        <v>758</v>
      </c>
      <c r="B72" s="72"/>
      <c r="C72" s="72"/>
      <c r="D72" s="72" t="s">
        <v>155</v>
      </c>
      <c r="E72" s="73">
        <v>6274677</v>
      </c>
      <c r="F72" s="73">
        <f>F73</f>
        <v>1000</v>
      </c>
      <c r="G72" s="73"/>
      <c r="H72" s="73">
        <f t="shared" si="1"/>
        <v>6273677</v>
      </c>
      <c r="I72" s="93"/>
      <c r="J72" s="93"/>
    </row>
    <row r="73" spans="1:9" ht="21" customHeight="1">
      <c r="A73" s="64"/>
      <c r="B73" s="71">
        <v>75818</v>
      </c>
      <c r="C73" s="71"/>
      <c r="D73" s="71" t="s">
        <v>157</v>
      </c>
      <c r="E73" s="77">
        <v>6224677</v>
      </c>
      <c r="F73" s="77">
        <f>F74</f>
        <v>1000</v>
      </c>
      <c r="G73" s="77"/>
      <c r="H73" s="77">
        <f t="shared" si="1"/>
        <v>6223677</v>
      </c>
      <c r="I73" s="93"/>
    </row>
    <row r="74" spans="1:8" ht="21" customHeight="1">
      <c r="A74" s="64"/>
      <c r="B74" s="65"/>
      <c r="C74" s="65"/>
      <c r="D74" s="40" t="s">
        <v>156</v>
      </c>
      <c r="E74" s="92">
        <v>6124677</v>
      </c>
      <c r="F74" s="76">
        <f>F75</f>
        <v>1000</v>
      </c>
      <c r="G74" s="76"/>
      <c r="H74" s="92">
        <f t="shared" si="1"/>
        <v>6123677</v>
      </c>
    </row>
    <row r="75" spans="1:8" ht="21" customHeight="1">
      <c r="A75" s="85"/>
      <c r="B75" s="85"/>
      <c r="C75" s="63">
        <v>4810</v>
      </c>
      <c r="D75" s="63" t="s">
        <v>158</v>
      </c>
      <c r="E75" s="75">
        <v>6124677</v>
      </c>
      <c r="F75" s="75">
        <v>1000</v>
      </c>
      <c r="G75" s="75"/>
      <c r="H75" s="75">
        <f t="shared" si="1"/>
        <v>6123677</v>
      </c>
    </row>
    <row r="76" spans="1:10" ht="21" customHeight="1">
      <c r="A76" s="72">
        <v>801</v>
      </c>
      <c r="B76" s="72"/>
      <c r="C76" s="72"/>
      <c r="D76" s="72" t="s">
        <v>226</v>
      </c>
      <c r="E76" s="73">
        <v>246268675</v>
      </c>
      <c r="F76" s="73">
        <f>F77+F86</f>
        <v>523809</v>
      </c>
      <c r="G76" s="73">
        <f>G77+G86</f>
        <v>523809</v>
      </c>
      <c r="H76" s="73">
        <f t="shared" si="1"/>
        <v>246268675</v>
      </c>
      <c r="I76" s="93">
        <f>G76-F76</f>
        <v>0</v>
      </c>
      <c r="J76" s="93">
        <v>137963</v>
      </c>
    </row>
    <row r="77" spans="1:9" ht="18.75" customHeight="1">
      <c r="A77" s="64"/>
      <c r="B77" s="71">
        <v>80101</v>
      </c>
      <c r="C77" s="71"/>
      <c r="D77" s="71" t="s">
        <v>227</v>
      </c>
      <c r="E77" s="77">
        <v>81881000</v>
      </c>
      <c r="F77" s="77">
        <f>F78+F80</f>
        <v>506306</v>
      </c>
      <c r="G77" s="77">
        <f>G80</f>
        <v>506306</v>
      </c>
      <c r="H77" s="77">
        <f t="shared" si="1"/>
        <v>81881000</v>
      </c>
      <c r="I77" s="93">
        <f>G77-F77</f>
        <v>0</v>
      </c>
    </row>
    <row r="78" spans="1:8" ht="18.75" customHeight="1">
      <c r="A78" s="64"/>
      <c r="B78" s="64"/>
      <c r="C78" s="64"/>
      <c r="D78" s="126" t="s">
        <v>276</v>
      </c>
      <c r="E78" s="92">
        <v>11478000</v>
      </c>
      <c r="F78" s="92">
        <f>F79</f>
        <v>6306</v>
      </c>
      <c r="G78" s="92"/>
      <c r="H78" s="92">
        <f t="shared" si="1"/>
        <v>11471694</v>
      </c>
    </row>
    <row r="79" spans="1:8" ht="18.75" customHeight="1">
      <c r="A79" s="64"/>
      <c r="B79" s="64"/>
      <c r="C79" s="63">
        <v>4260</v>
      </c>
      <c r="D79" s="63" t="s">
        <v>264</v>
      </c>
      <c r="E79" s="75">
        <v>5015075</v>
      </c>
      <c r="F79" s="75">
        <v>6306</v>
      </c>
      <c r="G79" s="75"/>
      <c r="H79" s="75">
        <f t="shared" si="1"/>
        <v>5008769</v>
      </c>
    </row>
    <row r="80" spans="1:8" ht="18.75" customHeight="1">
      <c r="A80" s="64"/>
      <c r="B80" s="64"/>
      <c r="C80" s="64"/>
      <c r="D80" s="126" t="s">
        <v>2</v>
      </c>
      <c r="E80" s="92">
        <v>3362000</v>
      </c>
      <c r="F80" s="92">
        <f>F81</f>
        <v>500000</v>
      </c>
      <c r="G80" s="92">
        <f>G84+G82</f>
        <v>506306</v>
      </c>
      <c r="H80" s="92">
        <f t="shared" si="1"/>
        <v>3368306</v>
      </c>
    </row>
    <row r="81" spans="1:8" ht="18.75" customHeight="1">
      <c r="A81" s="64"/>
      <c r="B81" s="64"/>
      <c r="C81" s="64"/>
      <c r="D81" s="61" t="s">
        <v>435</v>
      </c>
      <c r="E81" s="123">
        <v>2000000</v>
      </c>
      <c r="F81" s="123">
        <v>500000</v>
      </c>
      <c r="G81" s="123"/>
      <c r="H81" s="123">
        <f t="shared" si="1"/>
        <v>1500000</v>
      </c>
    </row>
    <row r="82" spans="1:8" ht="18.75" customHeight="1">
      <c r="A82" s="64"/>
      <c r="B82" s="64"/>
      <c r="C82" s="64"/>
      <c r="D82" s="771" t="s">
        <v>436</v>
      </c>
      <c r="E82" s="492">
        <v>500000</v>
      </c>
      <c r="F82" s="492"/>
      <c r="G82" s="492">
        <v>500000</v>
      </c>
      <c r="H82" s="492">
        <f t="shared" si="1"/>
        <v>1000000</v>
      </c>
    </row>
    <row r="83" spans="1:8" ht="18" customHeight="1">
      <c r="A83" s="64"/>
      <c r="B83" s="64"/>
      <c r="C83" s="63">
        <v>6050</v>
      </c>
      <c r="D83" s="63" t="s">
        <v>263</v>
      </c>
      <c r="E83" s="75">
        <v>3362000</v>
      </c>
      <c r="F83" s="75">
        <f>F81</f>
        <v>500000</v>
      </c>
      <c r="G83" s="75">
        <f>G82</f>
        <v>500000</v>
      </c>
      <c r="H83" s="75">
        <f>E83-F83+G83</f>
        <v>3362000</v>
      </c>
    </row>
    <row r="84" spans="1:8" ht="18" customHeight="1">
      <c r="A84" s="64"/>
      <c r="B84" s="64"/>
      <c r="C84" s="64"/>
      <c r="D84" s="467" t="s">
        <v>295</v>
      </c>
      <c r="E84" s="468"/>
      <c r="F84" s="468"/>
      <c r="G84" s="468">
        <f>G85</f>
        <v>6306</v>
      </c>
      <c r="H84" s="468">
        <f>E84-F84+G84</f>
        <v>6306</v>
      </c>
    </row>
    <row r="85" spans="1:8" ht="18" customHeight="1">
      <c r="A85" s="64"/>
      <c r="B85" s="85"/>
      <c r="C85" s="63">
        <v>6060</v>
      </c>
      <c r="D85" s="63" t="s">
        <v>267</v>
      </c>
      <c r="E85" s="75"/>
      <c r="F85" s="75"/>
      <c r="G85" s="75">
        <v>6306</v>
      </c>
      <c r="H85" s="75">
        <f>E85-F85+G85</f>
        <v>6306</v>
      </c>
    </row>
    <row r="86" spans="1:9" ht="18" customHeight="1">
      <c r="A86" s="64"/>
      <c r="B86" s="62">
        <v>80110</v>
      </c>
      <c r="C86" s="62"/>
      <c r="D86" s="62" t="s">
        <v>297</v>
      </c>
      <c r="E86" s="74">
        <v>47251000</v>
      </c>
      <c r="F86" s="74">
        <f>F89</f>
        <v>17503</v>
      </c>
      <c r="G86" s="74">
        <f>G87</f>
        <v>17503</v>
      </c>
      <c r="H86" s="74">
        <f>G86+E86-F86</f>
        <v>47251000</v>
      </c>
      <c r="I86" s="93">
        <f>G86-F86</f>
        <v>0</v>
      </c>
    </row>
    <row r="87" spans="1:8" ht="18" customHeight="1">
      <c r="A87" s="64"/>
      <c r="B87" s="64"/>
      <c r="C87" s="64"/>
      <c r="D87" s="126" t="s">
        <v>276</v>
      </c>
      <c r="E87" s="92">
        <v>6434000</v>
      </c>
      <c r="F87" s="92"/>
      <c r="G87" s="92">
        <f>G88</f>
        <v>17503</v>
      </c>
      <c r="H87" s="92">
        <f>G87+E87-F87</f>
        <v>6451503</v>
      </c>
    </row>
    <row r="88" spans="1:8" ht="18" customHeight="1">
      <c r="A88" s="64"/>
      <c r="B88" s="64"/>
      <c r="C88" s="63">
        <v>4270</v>
      </c>
      <c r="D88" s="63" t="s">
        <v>167</v>
      </c>
      <c r="E88" s="75">
        <v>100000</v>
      </c>
      <c r="F88" s="75"/>
      <c r="G88" s="75">
        <v>17503</v>
      </c>
      <c r="H88" s="75">
        <f>G88+E88-F88</f>
        <v>117503</v>
      </c>
    </row>
    <row r="89" spans="1:8" ht="18" customHeight="1">
      <c r="A89" s="64"/>
      <c r="B89" s="64"/>
      <c r="C89" s="64"/>
      <c r="D89" s="126" t="s">
        <v>2</v>
      </c>
      <c r="E89" s="92">
        <v>2900000</v>
      </c>
      <c r="F89" s="92">
        <f>F90</f>
        <v>17503</v>
      </c>
      <c r="G89" s="92"/>
      <c r="H89" s="92">
        <f>G89+E89-F89</f>
        <v>2882497</v>
      </c>
    </row>
    <row r="90" spans="1:8" ht="18" customHeight="1">
      <c r="A90" s="64"/>
      <c r="B90" s="64"/>
      <c r="C90" s="64"/>
      <c r="D90" s="467" t="s">
        <v>296</v>
      </c>
      <c r="E90" s="468">
        <v>600000</v>
      </c>
      <c r="F90" s="468">
        <f>F91</f>
        <v>17503</v>
      </c>
      <c r="G90" s="468"/>
      <c r="H90" s="468">
        <f>E90-F90+G90</f>
        <v>582497</v>
      </c>
    </row>
    <row r="91" spans="1:8" ht="18" customHeight="1">
      <c r="A91" s="64"/>
      <c r="B91" s="64"/>
      <c r="C91" s="63">
        <v>6050</v>
      </c>
      <c r="D91" s="63" t="s">
        <v>263</v>
      </c>
      <c r="E91" s="75">
        <v>2900000</v>
      </c>
      <c r="F91" s="75">
        <v>17503</v>
      </c>
      <c r="G91" s="75"/>
      <c r="H91" s="75">
        <f>E91-F91+G91</f>
        <v>2882497</v>
      </c>
    </row>
    <row r="92" spans="1:8" ht="17.25" customHeight="1">
      <c r="A92" s="67">
        <v>851</v>
      </c>
      <c r="B92" s="67"/>
      <c r="C92" s="72"/>
      <c r="D92" s="72" t="s">
        <v>228</v>
      </c>
      <c r="E92" s="73">
        <v>7095000</v>
      </c>
      <c r="F92" s="73">
        <f>F93+F109+F137</f>
        <v>406819</v>
      </c>
      <c r="G92" s="73">
        <f>G93+G109+G137</f>
        <v>406819</v>
      </c>
      <c r="H92" s="73">
        <f>E92-F92+G92</f>
        <v>7095000</v>
      </c>
    </row>
    <row r="93" spans="1:8" s="84" customFormat="1" ht="18" customHeight="1">
      <c r="A93" s="70"/>
      <c r="B93" s="62">
        <v>85153</v>
      </c>
      <c r="C93" s="62"/>
      <c r="D93" s="62" t="s">
        <v>401</v>
      </c>
      <c r="E93" s="74">
        <v>100000</v>
      </c>
      <c r="F93" s="74">
        <f>F94</f>
        <v>35000</v>
      </c>
      <c r="G93" s="74">
        <f>G94</f>
        <v>35000</v>
      </c>
      <c r="H93" s="74">
        <f>G93+E93-F93</f>
        <v>100000</v>
      </c>
    </row>
    <row r="94" spans="1:8" ht="26.25" customHeight="1">
      <c r="A94" s="64"/>
      <c r="B94" s="65"/>
      <c r="C94" s="65"/>
      <c r="D94" s="500" t="s">
        <v>403</v>
      </c>
      <c r="E94" s="501">
        <v>100000</v>
      </c>
      <c r="F94" s="501">
        <f>F107</f>
        <v>35000</v>
      </c>
      <c r="G94" s="501">
        <f>G95+G98+G105</f>
        <v>35000</v>
      </c>
      <c r="H94" s="501">
        <f aca="true" t="shared" si="2" ref="H94:H108">E94-F94+G94</f>
        <v>100000</v>
      </c>
    </row>
    <row r="95" spans="1:8" ht="18" customHeight="1">
      <c r="A95" s="85"/>
      <c r="B95" s="85"/>
      <c r="C95" s="85"/>
      <c r="D95" s="728" t="s">
        <v>404</v>
      </c>
      <c r="E95" s="729">
        <v>13000</v>
      </c>
      <c r="F95" s="729"/>
      <c r="G95" s="729">
        <f>G97+G96</f>
        <v>2300</v>
      </c>
      <c r="H95" s="729">
        <f t="shared" si="2"/>
        <v>15300</v>
      </c>
    </row>
    <row r="96" spans="1:8" ht="18.75" customHeight="1">
      <c r="A96" s="64"/>
      <c r="B96" s="64"/>
      <c r="C96" s="127">
        <v>4210</v>
      </c>
      <c r="D96" s="63" t="s">
        <v>270</v>
      </c>
      <c r="E96" s="75"/>
      <c r="F96" s="75"/>
      <c r="G96" s="75">
        <v>300</v>
      </c>
      <c r="H96" s="75">
        <f>E96-F96+G96</f>
        <v>300</v>
      </c>
    </row>
    <row r="97" spans="1:8" ht="18.75" customHeight="1">
      <c r="A97" s="64"/>
      <c r="B97" s="64"/>
      <c r="C97" s="127">
        <v>4300</v>
      </c>
      <c r="D97" s="504" t="s">
        <v>262</v>
      </c>
      <c r="E97" s="90">
        <v>3000</v>
      </c>
      <c r="F97" s="90"/>
      <c r="G97" s="90">
        <v>2000</v>
      </c>
      <c r="H97" s="90">
        <f t="shared" si="2"/>
        <v>5000</v>
      </c>
    </row>
    <row r="98" spans="1:8" ht="18.75" customHeight="1">
      <c r="A98" s="64"/>
      <c r="B98" s="64"/>
      <c r="C98" s="64"/>
      <c r="D98" s="502" t="s">
        <v>407</v>
      </c>
      <c r="E98" s="503">
        <v>26000</v>
      </c>
      <c r="F98" s="503"/>
      <c r="G98" s="503">
        <f>SUM(G99:G104)</f>
        <v>28700</v>
      </c>
      <c r="H98" s="503">
        <f t="shared" si="2"/>
        <v>54700</v>
      </c>
    </row>
    <row r="99" spans="1:8" ht="18.75" customHeight="1">
      <c r="A99" s="64"/>
      <c r="B99" s="64"/>
      <c r="C99" s="127">
        <v>3020</v>
      </c>
      <c r="D99" s="63" t="s">
        <v>277</v>
      </c>
      <c r="E99" s="75"/>
      <c r="F99" s="75"/>
      <c r="G99" s="75">
        <v>500</v>
      </c>
      <c r="H99" s="75">
        <f t="shared" si="2"/>
        <v>500</v>
      </c>
    </row>
    <row r="100" spans="1:8" ht="18.75" customHeight="1">
      <c r="A100" s="64"/>
      <c r="B100" s="64"/>
      <c r="C100" s="127">
        <v>4110</v>
      </c>
      <c r="D100" s="504" t="s">
        <v>268</v>
      </c>
      <c r="E100" s="90"/>
      <c r="F100" s="90"/>
      <c r="G100" s="90">
        <v>1379</v>
      </c>
      <c r="H100" s="90">
        <f>E100-F100+G100</f>
        <v>1379</v>
      </c>
    </row>
    <row r="101" spans="1:8" ht="18.75" customHeight="1">
      <c r="A101" s="64"/>
      <c r="B101" s="64"/>
      <c r="C101" s="127">
        <v>4120</v>
      </c>
      <c r="D101" s="63" t="s">
        <v>269</v>
      </c>
      <c r="E101" s="75"/>
      <c r="F101" s="75"/>
      <c r="G101" s="75">
        <v>203</v>
      </c>
      <c r="H101" s="75">
        <f>E101-F101+G101</f>
        <v>203</v>
      </c>
    </row>
    <row r="102" spans="1:8" ht="18.75" customHeight="1">
      <c r="A102" s="64"/>
      <c r="B102" s="64"/>
      <c r="C102" s="127">
        <v>4210</v>
      </c>
      <c r="D102" s="63" t="s">
        <v>270</v>
      </c>
      <c r="E102" s="75"/>
      <c r="F102" s="75"/>
      <c r="G102" s="75">
        <v>2000</v>
      </c>
      <c r="H102" s="75">
        <f>E102-F102+G102</f>
        <v>2000</v>
      </c>
    </row>
    <row r="103" spans="1:8" ht="18.75" customHeight="1">
      <c r="A103" s="64"/>
      <c r="B103" s="64"/>
      <c r="C103" s="127">
        <v>4240</v>
      </c>
      <c r="D103" s="504" t="s">
        <v>200</v>
      </c>
      <c r="E103" s="90"/>
      <c r="F103" s="90"/>
      <c r="G103" s="90">
        <v>200</v>
      </c>
      <c r="H103" s="90">
        <f>E103-F103+G103</f>
        <v>200</v>
      </c>
    </row>
    <row r="104" spans="1:8" ht="18.75" customHeight="1">
      <c r="A104" s="64"/>
      <c r="B104" s="64"/>
      <c r="C104" s="127">
        <v>4300</v>
      </c>
      <c r="D104" s="504" t="s">
        <v>262</v>
      </c>
      <c r="E104" s="90">
        <v>2000</v>
      </c>
      <c r="F104" s="90"/>
      <c r="G104" s="90">
        <v>24418</v>
      </c>
      <c r="H104" s="90">
        <f t="shared" si="2"/>
        <v>26418</v>
      </c>
    </row>
    <row r="105" spans="1:8" ht="18" customHeight="1">
      <c r="A105" s="64"/>
      <c r="B105" s="64"/>
      <c r="C105" s="64"/>
      <c r="D105" s="502" t="s">
        <v>415</v>
      </c>
      <c r="E105" s="503">
        <v>26000</v>
      </c>
      <c r="F105" s="503"/>
      <c r="G105" s="503">
        <f>G106</f>
        <v>4000</v>
      </c>
      <c r="H105" s="503">
        <f t="shared" si="2"/>
        <v>30000</v>
      </c>
    </row>
    <row r="106" spans="1:8" ht="18.75" customHeight="1">
      <c r="A106" s="64"/>
      <c r="B106" s="64"/>
      <c r="C106" s="127">
        <v>4300</v>
      </c>
      <c r="D106" s="504" t="s">
        <v>262</v>
      </c>
      <c r="E106" s="90">
        <v>3000</v>
      </c>
      <c r="F106" s="90"/>
      <c r="G106" s="90">
        <v>4000</v>
      </c>
      <c r="H106" s="90">
        <f t="shared" si="2"/>
        <v>7000</v>
      </c>
    </row>
    <row r="107" spans="1:8" ht="25.5" customHeight="1">
      <c r="A107" s="64"/>
      <c r="B107" s="64"/>
      <c r="C107" s="64"/>
      <c r="D107" s="502" t="s">
        <v>117</v>
      </c>
      <c r="E107" s="503">
        <v>35000</v>
      </c>
      <c r="F107" s="503">
        <f>F108</f>
        <v>35000</v>
      </c>
      <c r="G107" s="503"/>
      <c r="H107" s="503">
        <f t="shared" si="2"/>
        <v>0</v>
      </c>
    </row>
    <row r="108" spans="1:8" ht="18.75" customHeight="1">
      <c r="A108" s="64"/>
      <c r="B108" s="64"/>
      <c r="C108" s="593">
        <v>4300</v>
      </c>
      <c r="D108" s="603" t="s">
        <v>262</v>
      </c>
      <c r="E108" s="90">
        <v>35000</v>
      </c>
      <c r="F108" s="90">
        <v>35000</v>
      </c>
      <c r="G108" s="90"/>
      <c r="H108" s="90">
        <f t="shared" si="2"/>
        <v>0</v>
      </c>
    </row>
    <row r="109" spans="1:8" s="84" customFormat="1" ht="18" customHeight="1">
      <c r="A109" s="70"/>
      <c r="B109" s="71">
        <v>85154</v>
      </c>
      <c r="C109" s="71"/>
      <c r="D109" s="71" t="s">
        <v>246</v>
      </c>
      <c r="E109" s="74">
        <v>3500000</v>
      </c>
      <c r="F109" s="74">
        <f>F110</f>
        <v>253019</v>
      </c>
      <c r="G109" s="74">
        <f>G110</f>
        <v>253019</v>
      </c>
      <c r="H109" s="74">
        <f>G109+E109-F109</f>
        <v>3500000</v>
      </c>
    </row>
    <row r="110" spans="1:8" ht="25.5" customHeight="1">
      <c r="A110" s="64"/>
      <c r="B110" s="65"/>
      <c r="C110" s="65"/>
      <c r="D110" s="500" t="s">
        <v>3</v>
      </c>
      <c r="E110" s="501">
        <v>3500000</v>
      </c>
      <c r="F110" s="501">
        <f>F123+F111+F116+F132</f>
        <v>253019</v>
      </c>
      <c r="G110" s="501">
        <f>G123+G111+G116+G132</f>
        <v>253019</v>
      </c>
      <c r="H110" s="501">
        <f aca="true" t="shared" si="3" ref="H110:H136">E110-F110+G110</f>
        <v>3500000</v>
      </c>
    </row>
    <row r="111" spans="1:8" ht="25.5" customHeight="1">
      <c r="A111" s="64"/>
      <c r="B111" s="64"/>
      <c r="C111" s="64"/>
      <c r="D111" s="502" t="s">
        <v>443</v>
      </c>
      <c r="E111" s="503">
        <v>805000</v>
      </c>
      <c r="F111" s="503">
        <f>F113</f>
        <v>13000</v>
      </c>
      <c r="G111" s="503">
        <f>G112+G115</f>
        <v>13000</v>
      </c>
      <c r="H111" s="503">
        <f t="shared" si="3"/>
        <v>805000</v>
      </c>
    </row>
    <row r="112" spans="1:8" ht="16.5" customHeight="1">
      <c r="A112" s="64"/>
      <c r="B112" s="64"/>
      <c r="C112" s="127">
        <v>4210</v>
      </c>
      <c r="D112" s="504" t="s">
        <v>270</v>
      </c>
      <c r="E112" s="90"/>
      <c r="F112" s="90"/>
      <c r="G112" s="90">
        <v>4500</v>
      </c>
      <c r="H112" s="90">
        <f t="shared" si="3"/>
        <v>4500</v>
      </c>
    </row>
    <row r="113" spans="1:8" ht="16.5" customHeight="1">
      <c r="A113" s="64"/>
      <c r="B113" s="64"/>
      <c r="C113" s="127">
        <v>4300</v>
      </c>
      <c r="D113" s="504" t="s">
        <v>262</v>
      </c>
      <c r="E113" s="90">
        <v>57000</v>
      </c>
      <c r="F113" s="90">
        <v>13000</v>
      </c>
      <c r="G113" s="90"/>
      <c r="H113" s="90">
        <f t="shared" si="3"/>
        <v>44000</v>
      </c>
    </row>
    <row r="114" spans="1:8" ht="16.5" customHeight="1">
      <c r="A114" s="64"/>
      <c r="B114" s="64"/>
      <c r="C114" s="139"/>
      <c r="D114" s="772" t="s">
        <v>1</v>
      </c>
      <c r="E114" s="591"/>
      <c r="F114" s="591"/>
      <c r="G114" s="591">
        <v>8500</v>
      </c>
      <c r="H114" s="591">
        <v>8500</v>
      </c>
    </row>
    <row r="115" spans="1:8" ht="16.5" customHeight="1">
      <c r="A115" s="64"/>
      <c r="B115" s="64"/>
      <c r="C115" s="127">
        <v>6060</v>
      </c>
      <c r="D115" s="63" t="s">
        <v>267</v>
      </c>
      <c r="E115" s="75"/>
      <c r="F115" s="75"/>
      <c r="G115" s="75">
        <v>8500</v>
      </c>
      <c r="H115" s="75">
        <f t="shared" si="3"/>
        <v>8500</v>
      </c>
    </row>
    <row r="116" spans="1:8" ht="38.25" customHeight="1">
      <c r="A116" s="64"/>
      <c r="B116" s="64"/>
      <c r="C116" s="64"/>
      <c r="D116" s="499" t="s">
        <v>536</v>
      </c>
      <c r="E116" s="503">
        <v>875000</v>
      </c>
      <c r="F116" s="503">
        <f>F120</f>
        <v>34897</v>
      </c>
      <c r="G116" s="503">
        <f>SUM(G117:G121)</f>
        <v>34897</v>
      </c>
      <c r="H116" s="503">
        <f t="shared" si="3"/>
        <v>875000</v>
      </c>
    </row>
    <row r="117" spans="1:8" ht="15.75" customHeight="1">
      <c r="A117" s="64"/>
      <c r="B117" s="64"/>
      <c r="C117" s="127">
        <v>4110</v>
      </c>
      <c r="D117" s="504" t="s">
        <v>268</v>
      </c>
      <c r="E117" s="90"/>
      <c r="F117" s="90"/>
      <c r="G117" s="90">
        <v>17563</v>
      </c>
      <c r="H117" s="90">
        <f t="shared" si="3"/>
        <v>17563</v>
      </c>
    </row>
    <row r="118" spans="1:8" ht="15.75" customHeight="1">
      <c r="A118" s="64"/>
      <c r="B118" s="64"/>
      <c r="C118" s="127">
        <v>4120</v>
      </c>
      <c r="D118" s="504" t="s">
        <v>269</v>
      </c>
      <c r="E118" s="90"/>
      <c r="F118" s="90"/>
      <c r="G118" s="90">
        <v>2281</v>
      </c>
      <c r="H118" s="90">
        <f t="shared" si="3"/>
        <v>2281</v>
      </c>
    </row>
    <row r="119" spans="1:8" ht="15.75" customHeight="1">
      <c r="A119" s="64"/>
      <c r="B119" s="64"/>
      <c r="C119" s="127">
        <v>4210</v>
      </c>
      <c r="D119" s="504" t="s">
        <v>270</v>
      </c>
      <c r="E119" s="90">
        <v>12000</v>
      </c>
      <c r="F119" s="90"/>
      <c r="G119" s="90">
        <v>12553</v>
      </c>
      <c r="H119" s="90">
        <f t="shared" si="3"/>
        <v>24553</v>
      </c>
    </row>
    <row r="120" spans="1:8" ht="15.75" customHeight="1">
      <c r="A120" s="64"/>
      <c r="B120" s="64"/>
      <c r="C120" s="127">
        <v>4300</v>
      </c>
      <c r="D120" s="504" t="s">
        <v>262</v>
      </c>
      <c r="E120" s="90">
        <v>343000</v>
      </c>
      <c r="F120" s="90">
        <v>34897</v>
      </c>
      <c r="G120" s="90"/>
      <c r="H120" s="90">
        <f t="shared" si="3"/>
        <v>308103</v>
      </c>
    </row>
    <row r="121" spans="1:8" ht="15.75" customHeight="1">
      <c r="A121" s="64"/>
      <c r="B121" s="64"/>
      <c r="C121" s="139"/>
      <c r="D121" s="772" t="s">
        <v>1</v>
      </c>
      <c r="E121" s="591"/>
      <c r="F121" s="591"/>
      <c r="G121" s="591">
        <v>2500</v>
      </c>
      <c r="H121" s="591">
        <v>2500</v>
      </c>
    </row>
    <row r="122" spans="1:8" ht="15.75" customHeight="1">
      <c r="A122" s="64"/>
      <c r="B122" s="64"/>
      <c r="C122" s="127">
        <v>6060</v>
      </c>
      <c r="D122" s="63" t="s">
        <v>267</v>
      </c>
      <c r="E122" s="75"/>
      <c r="F122" s="75"/>
      <c r="G122" s="75">
        <v>2500</v>
      </c>
      <c r="H122" s="75">
        <f t="shared" si="3"/>
        <v>2500</v>
      </c>
    </row>
    <row r="123" spans="1:8" ht="25.5" customHeight="1">
      <c r="A123" s="64"/>
      <c r="B123" s="64"/>
      <c r="C123" s="64"/>
      <c r="D123" s="502" t="s">
        <v>359</v>
      </c>
      <c r="E123" s="503">
        <v>1330000</v>
      </c>
      <c r="F123" s="503">
        <f>F129</f>
        <v>162622</v>
      </c>
      <c r="G123" s="503">
        <f>SUM(G124:G131)</f>
        <v>162622</v>
      </c>
      <c r="H123" s="503">
        <f t="shared" si="3"/>
        <v>1330000</v>
      </c>
    </row>
    <row r="124" spans="1:8" ht="18.75" customHeight="1">
      <c r="A124" s="85"/>
      <c r="B124" s="85"/>
      <c r="C124" s="127">
        <v>3020</v>
      </c>
      <c r="D124" s="504" t="s">
        <v>277</v>
      </c>
      <c r="E124" s="90">
        <v>12000</v>
      </c>
      <c r="F124" s="90"/>
      <c r="G124" s="90">
        <v>3200</v>
      </c>
      <c r="H124" s="90">
        <f t="shared" si="3"/>
        <v>15200</v>
      </c>
    </row>
    <row r="125" spans="1:8" ht="18.75" customHeight="1">
      <c r="A125" s="64"/>
      <c r="B125" s="64"/>
      <c r="C125" s="127">
        <v>4110</v>
      </c>
      <c r="D125" s="504" t="s">
        <v>268</v>
      </c>
      <c r="E125" s="90"/>
      <c r="F125" s="90"/>
      <c r="G125" s="90">
        <v>27968</v>
      </c>
      <c r="H125" s="90">
        <f t="shared" si="3"/>
        <v>27968</v>
      </c>
    </row>
    <row r="126" spans="1:8" ht="18.75" customHeight="1">
      <c r="A126" s="64"/>
      <c r="B126" s="64"/>
      <c r="C126" s="127">
        <v>4120</v>
      </c>
      <c r="D126" s="504" t="s">
        <v>269</v>
      </c>
      <c r="E126" s="90"/>
      <c r="F126" s="90"/>
      <c r="G126" s="90">
        <v>3887</v>
      </c>
      <c r="H126" s="90">
        <f t="shared" si="3"/>
        <v>3887</v>
      </c>
    </row>
    <row r="127" spans="1:8" ht="18.75" customHeight="1">
      <c r="A127" s="64"/>
      <c r="B127" s="64"/>
      <c r="C127" s="127">
        <v>4210</v>
      </c>
      <c r="D127" s="504" t="s">
        <v>270</v>
      </c>
      <c r="E127" s="90">
        <v>22000</v>
      </c>
      <c r="F127" s="90"/>
      <c r="G127" s="90">
        <v>77840</v>
      </c>
      <c r="H127" s="90">
        <f t="shared" si="3"/>
        <v>99840</v>
      </c>
    </row>
    <row r="128" spans="1:8" ht="18.75" customHeight="1">
      <c r="A128" s="64"/>
      <c r="B128" s="64"/>
      <c r="C128" s="127">
        <v>4240</v>
      </c>
      <c r="D128" s="504" t="s">
        <v>200</v>
      </c>
      <c r="E128" s="90"/>
      <c r="F128" s="90"/>
      <c r="G128" s="90">
        <v>42465</v>
      </c>
      <c r="H128" s="90">
        <f t="shared" si="3"/>
        <v>42465</v>
      </c>
    </row>
    <row r="129" spans="1:8" ht="18.75" customHeight="1">
      <c r="A129" s="64"/>
      <c r="B129" s="64"/>
      <c r="C129" s="127">
        <v>4300</v>
      </c>
      <c r="D129" s="504" t="s">
        <v>262</v>
      </c>
      <c r="E129" s="90">
        <v>793000</v>
      </c>
      <c r="F129" s="90">
        <v>162622</v>
      </c>
      <c r="G129" s="90"/>
      <c r="H129" s="90">
        <f t="shared" si="3"/>
        <v>630378</v>
      </c>
    </row>
    <row r="130" spans="1:8" ht="18.75" customHeight="1">
      <c r="A130" s="64"/>
      <c r="B130" s="64"/>
      <c r="C130" s="604">
        <v>4410</v>
      </c>
      <c r="D130" s="125" t="s">
        <v>271</v>
      </c>
      <c r="E130" s="124"/>
      <c r="F130" s="124"/>
      <c r="G130" s="124">
        <v>762</v>
      </c>
      <c r="H130" s="124">
        <f t="shared" si="3"/>
        <v>762</v>
      </c>
    </row>
    <row r="131" spans="1:8" ht="18.75" customHeight="1">
      <c r="A131" s="64"/>
      <c r="B131" s="64"/>
      <c r="C131" s="604">
        <v>4420</v>
      </c>
      <c r="D131" s="125" t="s">
        <v>272</v>
      </c>
      <c r="E131" s="124">
        <v>3000</v>
      </c>
      <c r="F131" s="124"/>
      <c r="G131" s="124">
        <v>6500</v>
      </c>
      <c r="H131" s="124">
        <f t="shared" si="3"/>
        <v>9500</v>
      </c>
    </row>
    <row r="132" spans="1:8" ht="25.5" customHeight="1">
      <c r="A132" s="64"/>
      <c r="B132" s="64"/>
      <c r="C132" s="64"/>
      <c r="D132" s="502" t="s">
        <v>418</v>
      </c>
      <c r="E132" s="503">
        <v>175000</v>
      </c>
      <c r="F132" s="503">
        <f>F136</f>
        <v>42500</v>
      </c>
      <c r="G132" s="503">
        <f>SUM(G133:G135)</f>
        <v>42500</v>
      </c>
      <c r="H132" s="503">
        <f t="shared" si="3"/>
        <v>175000</v>
      </c>
    </row>
    <row r="133" spans="1:8" ht="19.5" customHeight="1">
      <c r="A133" s="64"/>
      <c r="B133" s="64"/>
      <c r="C133" s="127">
        <v>4210</v>
      </c>
      <c r="D133" s="504" t="s">
        <v>270</v>
      </c>
      <c r="E133" s="90">
        <v>15000</v>
      </c>
      <c r="F133" s="90"/>
      <c r="G133" s="90">
        <v>12000</v>
      </c>
      <c r="H133" s="90">
        <f t="shared" si="3"/>
        <v>27000</v>
      </c>
    </row>
    <row r="134" spans="1:8" ht="19.5" customHeight="1">
      <c r="A134" s="64"/>
      <c r="B134" s="64"/>
      <c r="C134" s="127">
        <v>4240</v>
      </c>
      <c r="D134" s="504" t="s">
        <v>200</v>
      </c>
      <c r="E134" s="90"/>
      <c r="F134" s="90"/>
      <c r="G134" s="90">
        <v>1000</v>
      </c>
      <c r="H134" s="90">
        <f t="shared" si="3"/>
        <v>1000</v>
      </c>
    </row>
    <row r="135" spans="1:8" ht="19.5" customHeight="1">
      <c r="A135" s="64"/>
      <c r="B135" s="64"/>
      <c r="C135" s="604">
        <v>4270</v>
      </c>
      <c r="D135" s="125" t="s">
        <v>28</v>
      </c>
      <c r="E135" s="124"/>
      <c r="F135" s="124"/>
      <c r="G135" s="124">
        <v>29500</v>
      </c>
      <c r="H135" s="124">
        <f t="shared" si="3"/>
        <v>29500</v>
      </c>
    </row>
    <row r="136" spans="1:8" ht="19.5" customHeight="1">
      <c r="A136" s="64"/>
      <c r="B136" s="85"/>
      <c r="C136" s="604">
        <v>4300</v>
      </c>
      <c r="D136" s="125" t="s">
        <v>262</v>
      </c>
      <c r="E136" s="124">
        <v>110000</v>
      </c>
      <c r="F136" s="124">
        <v>42500</v>
      </c>
      <c r="G136" s="124"/>
      <c r="H136" s="124">
        <f t="shared" si="3"/>
        <v>67500</v>
      </c>
    </row>
    <row r="137" spans="1:8" s="84" customFormat="1" ht="18.75" customHeight="1">
      <c r="A137" s="70"/>
      <c r="B137" s="62">
        <v>85195</v>
      </c>
      <c r="C137" s="62"/>
      <c r="D137" s="62" t="s">
        <v>225</v>
      </c>
      <c r="E137" s="74">
        <v>410000</v>
      </c>
      <c r="F137" s="74">
        <f>F138</f>
        <v>118800</v>
      </c>
      <c r="G137" s="74">
        <f>G138</f>
        <v>118800</v>
      </c>
      <c r="H137" s="74">
        <f>G137+E137-F137</f>
        <v>410000</v>
      </c>
    </row>
    <row r="138" spans="1:8" ht="26.25" customHeight="1">
      <c r="A138" s="64"/>
      <c r="B138" s="65"/>
      <c r="C138" s="65"/>
      <c r="D138" s="135" t="s">
        <v>4</v>
      </c>
      <c r="E138" s="501">
        <v>400000</v>
      </c>
      <c r="F138" s="501">
        <f>F156</f>
        <v>118800</v>
      </c>
      <c r="G138" s="501">
        <f>G145+G139+G152</f>
        <v>118800</v>
      </c>
      <c r="H138" s="501">
        <f aca="true" t="shared" si="4" ref="H138:H158">E138-F138+G138</f>
        <v>400000</v>
      </c>
    </row>
    <row r="139" spans="1:8" ht="25.5" customHeight="1">
      <c r="A139" s="64"/>
      <c r="B139" s="64"/>
      <c r="C139" s="64"/>
      <c r="D139" s="502" t="s">
        <v>388</v>
      </c>
      <c r="E139" s="503">
        <v>100000</v>
      </c>
      <c r="F139" s="503"/>
      <c r="G139" s="503">
        <f>SUM(G140:G144)</f>
        <v>43000</v>
      </c>
      <c r="H139" s="503">
        <f t="shared" si="4"/>
        <v>143000</v>
      </c>
    </row>
    <row r="140" spans="1:8" ht="18.75" customHeight="1">
      <c r="A140" s="64"/>
      <c r="B140" s="64"/>
      <c r="C140" s="127">
        <v>4110</v>
      </c>
      <c r="D140" s="504" t="s">
        <v>268</v>
      </c>
      <c r="E140" s="90"/>
      <c r="F140" s="90"/>
      <c r="G140" s="90">
        <v>835</v>
      </c>
      <c r="H140" s="90">
        <f t="shared" si="4"/>
        <v>835</v>
      </c>
    </row>
    <row r="141" spans="1:8" ht="18.75" customHeight="1">
      <c r="A141" s="64"/>
      <c r="B141" s="64"/>
      <c r="C141" s="127">
        <v>4120</v>
      </c>
      <c r="D141" s="504" t="s">
        <v>269</v>
      </c>
      <c r="E141" s="90"/>
      <c r="F141" s="90"/>
      <c r="G141" s="90">
        <v>100</v>
      </c>
      <c r="H141" s="90">
        <f t="shared" si="4"/>
        <v>100</v>
      </c>
    </row>
    <row r="142" spans="1:8" ht="18.75" customHeight="1">
      <c r="A142" s="64"/>
      <c r="B142" s="64"/>
      <c r="C142" s="127">
        <v>4210</v>
      </c>
      <c r="D142" s="504" t="s">
        <v>270</v>
      </c>
      <c r="E142" s="90"/>
      <c r="F142" s="90"/>
      <c r="G142" s="90">
        <v>24400</v>
      </c>
      <c r="H142" s="90">
        <f t="shared" si="4"/>
        <v>24400</v>
      </c>
    </row>
    <row r="143" spans="1:8" ht="18.75" customHeight="1">
      <c r="A143" s="64"/>
      <c r="B143" s="64"/>
      <c r="C143" s="127">
        <v>4240</v>
      </c>
      <c r="D143" s="504" t="s">
        <v>200</v>
      </c>
      <c r="E143" s="90"/>
      <c r="F143" s="90"/>
      <c r="G143" s="90">
        <v>7600</v>
      </c>
      <c r="H143" s="90">
        <f t="shared" si="4"/>
        <v>7600</v>
      </c>
    </row>
    <row r="144" spans="1:8" ht="18.75" customHeight="1">
      <c r="A144" s="64"/>
      <c r="B144" s="64"/>
      <c r="C144" s="127">
        <v>4300</v>
      </c>
      <c r="D144" s="504" t="s">
        <v>262</v>
      </c>
      <c r="E144" s="90"/>
      <c r="F144" s="90"/>
      <c r="G144" s="90">
        <v>10065</v>
      </c>
      <c r="H144" s="90">
        <f>E144-F144+G144</f>
        <v>10065</v>
      </c>
    </row>
    <row r="145" spans="1:8" ht="27" customHeight="1">
      <c r="A145" s="64"/>
      <c r="B145" s="64"/>
      <c r="C145" s="64"/>
      <c r="D145" s="502" t="s">
        <v>390</v>
      </c>
      <c r="E145" s="503">
        <v>27000</v>
      </c>
      <c r="F145" s="503"/>
      <c r="G145" s="503">
        <f>SUM(G146:G151)</f>
        <v>63600</v>
      </c>
      <c r="H145" s="503">
        <f t="shared" si="4"/>
        <v>90600</v>
      </c>
    </row>
    <row r="146" spans="1:8" ht="19.5" customHeight="1">
      <c r="A146" s="64"/>
      <c r="B146" s="64"/>
      <c r="C146" s="127">
        <v>4110</v>
      </c>
      <c r="D146" s="504" t="s">
        <v>268</v>
      </c>
      <c r="E146" s="90"/>
      <c r="F146" s="90"/>
      <c r="G146" s="90">
        <v>5710</v>
      </c>
      <c r="H146" s="90">
        <f>E146-F146+G146</f>
        <v>5710</v>
      </c>
    </row>
    <row r="147" spans="1:8" ht="19.5" customHeight="1">
      <c r="A147" s="64"/>
      <c r="B147" s="64"/>
      <c r="C147" s="127">
        <v>4120</v>
      </c>
      <c r="D147" s="504" t="s">
        <v>269</v>
      </c>
      <c r="E147" s="90"/>
      <c r="F147" s="90"/>
      <c r="G147" s="90">
        <v>787</v>
      </c>
      <c r="H147" s="90">
        <f>E147-F147+G147</f>
        <v>787</v>
      </c>
    </row>
    <row r="148" spans="1:8" ht="19.5" customHeight="1">
      <c r="A148" s="64"/>
      <c r="B148" s="64"/>
      <c r="C148" s="127">
        <v>4210</v>
      </c>
      <c r="D148" s="504" t="s">
        <v>270</v>
      </c>
      <c r="E148" s="90"/>
      <c r="F148" s="90"/>
      <c r="G148" s="90">
        <v>8303</v>
      </c>
      <c r="H148" s="90">
        <f>E148-F148+G148</f>
        <v>8303</v>
      </c>
    </row>
    <row r="149" spans="1:8" ht="19.5" customHeight="1">
      <c r="A149" s="64"/>
      <c r="B149" s="64"/>
      <c r="C149" s="127">
        <v>4240</v>
      </c>
      <c r="D149" s="504" t="s">
        <v>200</v>
      </c>
      <c r="E149" s="90"/>
      <c r="F149" s="90"/>
      <c r="G149" s="90">
        <v>5720</v>
      </c>
      <c r="H149" s="90">
        <f>E149-F149+G149</f>
        <v>5720</v>
      </c>
    </row>
    <row r="150" spans="1:8" ht="19.5" customHeight="1">
      <c r="A150" s="64"/>
      <c r="B150" s="64"/>
      <c r="C150" s="127">
        <v>4260</v>
      </c>
      <c r="D150" s="504" t="s">
        <v>264</v>
      </c>
      <c r="E150" s="90"/>
      <c r="F150" s="90"/>
      <c r="G150" s="90">
        <v>3200</v>
      </c>
      <c r="H150" s="90">
        <f>E150-F150+G150</f>
        <v>3200</v>
      </c>
    </row>
    <row r="151" spans="1:8" ht="19.5" customHeight="1">
      <c r="A151" s="85"/>
      <c r="B151" s="85"/>
      <c r="C151" s="127">
        <v>4300</v>
      </c>
      <c r="D151" s="504" t="s">
        <v>262</v>
      </c>
      <c r="E151" s="90"/>
      <c r="F151" s="90"/>
      <c r="G151" s="90">
        <v>39880</v>
      </c>
      <c r="H151" s="90">
        <f t="shared" si="4"/>
        <v>39880</v>
      </c>
    </row>
    <row r="152" spans="1:8" ht="18.75" customHeight="1">
      <c r="A152" s="64"/>
      <c r="B152" s="64"/>
      <c r="C152" s="64"/>
      <c r="D152" s="499" t="s">
        <v>122</v>
      </c>
      <c r="E152" s="92">
        <v>12000</v>
      </c>
      <c r="F152" s="92"/>
      <c r="G152" s="92">
        <f>SUM(G153:G155)</f>
        <v>12200</v>
      </c>
      <c r="H152" s="92">
        <f>E152-F152+G152</f>
        <v>24200</v>
      </c>
    </row>
    <row r="153" spans="1:8" ht="18.75" customHeight="1">
      <c r="A153" s="64"/>
      <c r="B153" s="64"/>
      <c r="C153" s="127">
        <v>4210</v>
      </c>
      <c r="D153" s="504" t="s">
        <v>270</v>
      </c>
      <c r="E153" s="90"/>
      <c r="F153" s="90"/>
      <c r="G153" s="90">
        <v>4600</v>
      </c>
      <c r="H153" s="90">
        <f>E153-F153+G153</f>
        <v>4600</v>
      </c>
    </row>
    <row r="154" spans="1:8" ht="18.75" customHeight="1">
      <c r="A154" s="64"/>
      <c r="B154" s="64"/>
      <c r="C154" s="127">
        <v>4240</v>
      </c>
      <c r="D154" s="504" t="s">
        <v>200</v>
      </c>
      <c r="E154" s="90"/>
      <c r="F154" s="90"/>
      <c r="G154" s="90">
        <v>200</v>
      </c>
      <c r="H154" s="90">
        <f>E154-F154+G154</f>
        <v>200</v>
      </c>
    </row>
    <row r="155" spans="1:8" ht="18.75" customHeight="1">
      <c r="A155" s="64"/>
      <c r="B155" s="64"/>
      <c r="C155" s="127">
        <v>4300</v>
      </c>
      <c r="D155" s="504" t="s">
        <v>262</v>
      </c>
      <c r="E155" s="90"/>
      <c r="F155" s="90"/>
      <c r="G155" s="90">
        <v>7400</v>
      </c>
      <c r="H155" s="90">
        <f>E155-F155+G155</f>
        <v>7400</v>
      </c>
    </row>
    <row r="156" spans="1:8" ht="27" customHeight="1">
      <c r="A156" s="64"/>
      <c r="B156" s="64"/>
      <c r="C156" s="64"/>
      <c r="D156" s="502" t="s">
        <v>124</v>
      </c>
      <c r="E156" s="503">
        <v>190000</v>
      </c>
      <c r="F156" s="503">
        <f>F157</f>
        <v>118800</v>
      </c>
      <c r="G156" s="503"/>
      <c r="H156" s="503">
        <f t="shared" si="4"/>
        <v>71200</v>
      </c>
    </row>
    <row r="157" spans="1:8" ht="18.75" customHeight="1">
      <c r="A157" s="64"/>
      <c r="B157" s="64"/>
      <c r="C157" s="127">
        <v>4300</v>
      </c>
      <c r="D157" s="504" t="s">
        <v>262</v>
      </c>
      <c r="E157" s="90">
        <v>132500</v>
      </c>
      <c r="F157" s="90">
        <v>118800</v>
      </c>
      <c r="G157" s="90"/>
      <c r="H157" s="90">
        <f t="shared" si="4"/>
        <v>13700</v>
      </c>
    </row>
    <row r="158" spans="1:9" ht="19.5" customHeight="1">
      <c r="A158" s="67">
        <v>853</v>
      </c>
      <c r="B158" s="67"/>
      <c r="C158" s="67"/>
      <c r="D158" s="67" t="s">
        <v>229</v>
      </c>
      <c r="E158" s="210">
        <v>71752978</v>
      </c>
      <c r="F158" s="210">
        <f>F159+F165</f>
        <v>6000</v>
      </c>
      <c r="G158" s="210">
        <f>G159+G165</f>
        <v>433489</v>
      </c>
      <c r="H158" s="210">
        <f t="shared" si="4"/>
        <v>72180467</v>
      </c>
      <c r="I158" s="93">
        <f>G158-F158</f>
        <v>427489</v>
      </c>
    </row>
    <row r="159" spans="1:8" s="84" customFormat="1" ht="21" customHeight="1">
      <c r="A159" s="70"/>
      <c r="B159" s="62">
        <v>85302</v>
      </c>
      <c r="C159" s="62"/>
      <c r="D159" s="62" t="s">
        <v>299</v>
      </c>
      <c r="E159" s="74">
        <v>13583400</v>
      </c>
      <c r="F159" s="74">
        <f>F160</f>
        <v>6000</v>
      </c>
      <c r="G159" s="74">
        <f>G162</f>
        <v>6000</v>
      </c>
      <c r="H159" s="74">
        <f>G159+E159-F159</f>
        <v>13583400</v>
      </c>
    </row>
    <row r="160" spans="1:8" ht="21" customHeight="1">
      <c r="A160" s="64"/>
      <c r="B160" s="64"/>
      <c r="C160" s="61"/>
      <c r="D160" s="480" t="s">
        <v>276</v>
      </c>
      <c r="E160" s="76">
        <v>3860400</v>
      </c>
      <c r="F160" s="76">
        <f>F161</f>
        <v>6000</v>
      </c>
      <c r="G160" s="76"/>
      <c r="H160" s="76">
        <f>E160-F160+G160</f>
        <v>3854400</v>
      </c>
    </row>
    <row r="161" spans="1:8" ht="21" customHeight="1">
      <c r="A161" s="64"/>
      <c r="B161" s="64"/>
      <c r="C161" s="63">
        <v>4230</v>
      </c>
      <c r="D161" s="78" t="s">
        <v>160</v>
      </c>
      <c r="E161" s="75">
        <v>283340</v>
      </c>
      <c r="F161" s="75">
        <v>6000</v>
      </c>
      <c r="G161" s="75"/>
      <c r="H161" s="75">
        <f>E161-F161+G161</f>
        <v>277340</v>
      </c>
    </row>
    <row r="162" spans="1:8" ht="21" customHeight="1">
      <c r="A162" s="64"/>
      <c r="B162" s="64"/>
      <c r="C162" s="61"/>
      <c r="D162" s="480" t="s">
        <v>266</v>
      </c>
      <c r="E162" s="76">
        <v>1120000</v>
      </c>
      <c r="F162" s="76"/>
      <c r="G162" s="76">
        <f>G163</f>
        <v>6000</v>
      </c>
      <c r="H162" s="76">
        <f>E162-F162+G162</f>
        <v>1126000</v>
      </c>
    </row>
    <row r="163" spans="1:8" ht="21" customHeight="1">
      <c r="A163" s="64"/>
      <c r="B163" s="64"/>
      <c r="C163" s="61"/>
      <c r="D163" s="730" t="s">
        <v>295</v>
      </c>
      <c r="E163" s="468"/>
      <c r="F163" s="468"/>
      <c r="G163" s="468">
        <f>G164</f>
        <v>6000</v>
      </c>
      <c r="H163" s="468">
        <f>E163-F163+G163</f>
        <v>6000</v>
      </c>
    </row>
    <row r="164" spans="1:8" ht="21" customHeight="1">
      <c r="A164" s="64"/>
      <c r="B164" s="85"/>
      <c r="C164" s="63">
        <v>6060</v>
      </c>
      <c r="D164" s="119" t="s">
        <v>174</v>
      </c>
      <c r="E164" s="75"/>
      <c r="F164" s="75"/>
      <c r="G164" s="75">
        <v>6000</v>
      </c>
      <c r="H164" s="75">
        <f>E164-F164+G164</f>
        <v>6000</v>
      </c>
    </row>
    <row r="165" spans="1:8" s="84" customFormat="1" ht="21" customHeight="1">
      <c r="A165" s="70"/>
      <c r="B165" s="62">
        <v>85315</v>
      </c>
      <c r="C165" s="62"/>
      <c r="D165" s="62" t="s">
        <v>234</v>
      </c>
      <c r="E165" s="74">
        <v>14554978</v>
      </c>
      <c r="F165" s="74"/>
      <c r="G165" s="74">
        <f>G166</f>
        <v>427489</v>
      </c>
      <c r="H165" s="74">
        <f>G165+E165-F165</f>
        <v>14982467</v>
      </c>
    </row>
    <row r="166" spans="1:8" ht="21" customHeight="1">
      <c r="A166" s="64"/>
      <c r="B166" s="64"/>
      <c r="C166" s="64"/>
      <c r="D166" s="121" t="s">
        <v>212</v>
      </c>
      <c r="E166" s="76">
        <v>14554978</v>
      </c>
      <c r="F166" s="76"/>
      <c r="G166" s="76">
        <f>G168</f>
        <v>427489</v>
      </c>
      <c r="H166" s="76">
        <f>G166+E166-F166</f>
        <v>14982467</v>
      </c>
    </row>
    <row r="167" spans="1:8" ht="21" customHeight="1">
      <c r="A167" s="64"/>
      <c r="B167" s="64"/>
      <c r="C167" s="64"/>
      <c r="D167" s="142" t="s">
        <v>213</v>
      </c>
      <c r="E167" s="133">
        <v>13700000</v>
      </c>
      <c r="F167" s="133"/>
      <c r="G167" s="133"/>
      <c r="H167" s="133">
        <f>E167-F167+G167</f>
        <v>13700000</v>
      </c>
    </row>
    <row r="168" spans="1:8" ht="21" customHeight="1">
      <c r="A168" s="64"/>
      <c r="B168" s="85"/>
      <c r="C168" s="63">
        <v>3110</v>
      </c>
      <c r="D168" s="63" t="s">
        <v>211</v>
      </c>
      <c r="E168" s="75">
        <v>14554978</v>
      </c>
      <c r="F168" s="75"/>
      <c r="G168" s="75">
        <v>427489</v>
      </c>
      <c r="H168" s="75">
        <f>G168+E168-F168</f>
        <v>14982467</v>
      </c>
    </row>
    <row r="169" spans="1:10" ht="21" customHeight="1">
      <c r="A169" s="67">
        <v>854</v>
      </c>
      <c r="B169" s="72"/>
      <c r="C169" s="72"/>
      <c r="D169" s="72" t="s">
        <v>238</v>
      </c>
      <c r="E169" s="73">
        <v>80905700</v>
      </c>
      <c r="F169" s="73">
        <f>F170+F179</f>
        <v>50000</v>
      </c>
      <c r="G169" s="73">
        <f>G170+G179</f>
        <v>327259</v>
      </c>
      <c r="H169" s="73">
        <f>E169-F169+G169</f>
        <v>81182959</v>
      </c>
      <c r="I169" s="93">
        <f>G169-F169</f>
        <v>277259</v>
      </c>
      <c r="J169" s="93">
        <v>437208</v>
      </c>
    </row>
    <row r="170" spans="1:9" ht="21" customHeight="1">
      <c r="A170" s="64"/>
      <c r="B170" s="62">
        <v>85403</v>
      </c>
      <c r="C170" s="62"/>
      <c r="D170" s="62" t="s">
        <v>168</v>
      </c>
      <c r="E170" s="74">
        <v>7610000</v>
      </c>
      <c r="F170" s="74">
        <f>F171+F176</f>
        <v>50000</v>
      </c>
      <c r="G170" s="74">
        <f>G171+G176</f>
        <v>50000</v>
      </c>
      <c r="H170" s="74">
        <f>G170+E170-F170</f>
        <v>7610000</v>
      </c>
      <c r="I170" s="93">
        <f>G170-F170</f>
        <v>0</v>
      </c>
    </row>
    <row r="171" spans="1:8" ht="21" customHeight="1">
      <c r="A171" s="64"/>
      <c r="B171" s="64"/>
      <c r="C171" s="64"/>
      <c r="D171" s="126" t="s">
        <v>276</v>
      </c>
      <c r="E171" s="76">
        <v>1051000</v>
      </c>
      <c r="F171" s="76">
        <f>SUM(F172:F175)</f>
        <v>18000</v>
      </c>
      <c r="G171" s="76">
        <f>SUM(G172:G175)</f>
        <v>50000</v>
      </c>
      <c r="H171" s="92">
        <f>G171+E171-F171</f>
        <v>1083000</v>
      </c>
    </row>
    <row r="172" spans="1:8" ht="21" customHeight="1">
      <c r="A172" s="64"/>
      <c r="B172" s="64"/>
      <c r="C172" s="63">
        <v>3020</v>
      </c>
      <c r="D172" s="63" t="s">
        <v>277</v>
      </c>
      <c r="E172" s="75">
        <v>18500</v>
      </c>
      <c r="F172" s="75">
        <v>4000</v>
      </c>
      <c r="G172" s="75"/>
      <c r="H172" s="75">
        <f>E172-F172+G172</f>
        <v>14500</v>
      </c>
    </row>
    <row r="173" spans="1:8" ht="21" customHeight="1">
      <c r="A173" s="64"/>
      <c r="B173" s="64"/>
      <c r="C173" s="63">
        <v>4260</v>
      </c>
      <c r="D173" s="63" t="s">
        <v>264</v>
      </c>
      <c r="E173" s="75">
        <v>458060</v>
      </c>
      <c r="F173" s="75">
        <v>10000</v>
      </c>
      <c r="G173" s="75"/>
      <c r="H173" s="75">
        <f>E173-F173+G173</f>
        <v>448060</v>
      </c>
    </row>
    <row r="174" spans="1:8" ht="21" customHeight="1">
      <c r="A174" s="64"/>
      <c r="B174" s="64"/>
      <c r="C174" s="63">
        <v>4270</v>
      </c>
      <c r="D174" s="63" t="s">
        <v>201</v>
      </c>
      <c r="E174" s="75"/>
      <c r="F174" s="75"/>
      <c r="G174" s="75">
        <v>50000</v>
      </c>
      <c r="H174" s="75">
        <f>E174-F174+G174</f>
        <v>50000</v>
      </c>
    </row>
    <row r="175" spans="1:8" ht="21" customHeight="1">
      <c r="A175" s="64"/>
      <c r="B175" s="64"/>
      <c r="C175" s="125">
        <v>4440</v>
      </c>
      <c r="D175" s="125" t="s">
        <v>279</v>
      </c>
      <c r="E175" s="123">
        <v>252000</v>
      </c>
      <c r="F175" s="123">
        <v>4000</v>
      </c>
      <c r="G175" s="123"/>
      <c r="H175" s="124">
        <f>E175-F175+G175</f>
        <v>248000</v>
      </c>
    </row>
    <row r="176" spans="1:8" ht="21" customHeight="1">
      <c r="A176" s="64"/>
      <c r="B176" s="64"/>
      <c r="C176" s="64"/>
      <c r="D176" s="126" t="s">
        <v>280</v>
      </c>
      <c r="E176" s="76">
        <v>950000</v>
      </c>
      <c r="F176" s="76">
        <f>SUM(F177:F178)</f>
        <v>32000</v>
      </c>
      <c r="G176" s="76"/>
      <c r="H176" s="92">
        <f>G176+E176-F176</f>
        <v>918000</v>
      </c>
    </row>
    <row r="177" spans="1:8" ht="21" customHeight="1">
      <c r="A177" s="64"/>
      <c r="B177" s="64"/>
      <c r="C177" s="63">
        <v>4110</v>
      </c>
      <c r="D177" s="63" t="s">
        <v>268</v>
      </c>
      <c r="E177" s="75">
        <v>831470</v>
      </c>
      <c r="F177" s="75">
        <v>30000</v>
      </c>
      <c r="G177" s="75"/>
      <c r="H177" s="75">
        <f>E177-F177+G177</f>
        <v>801470</v>
      </c>
    </row>
    <row r="178" spans="1:8" ht="21" customHeight="1">
      <c r="A178" s="85"/>
      <c r="B178" s="85"/>
      <c r="C178" s="125">
        <v>4120</v>
      </c>
      <c r="D178" s="125" t="s">
        <v>269</v>
      </c>
      <c r="E178" s="124">
        <v>118530</v>
      </c>
      <c r="F178" s="124">
        <v>2000</v>
      </c>
      <c r="G178" s="124"/>
      <c r="H178" s="124">
        <f>E178-F178+G178</f>
        <v>116530</v>
      </c>
    </row>
    <row r="179" spans="1:9" ht="21" customHeight="1">
      <c r="A179" s="64"/>
      <c r="B179" s="62">
        <v>85415</v>
      </c>
      <c r="C179" s="62"/>
      <c r="D179" s="62" t="s">
        <v>253</v>
      </c>
      <c r="E179" s="74">
        <v>597000</v>
      </c>
      <c r="F179" s="74"/>
      <c r="G179" s="74">
        <f>G180</f>
        <v>277259</v>
      </c>
      <c r="H179" s="74">
        <f>G179+E179-F179</f>
        <v>874259</v>
      </c>
      <c r="I179" s="93">
        <f>G179-F179</f>
        <v>277259</v>
      </c>
    </row>
    <row r="180" spans="1:8" ht="21" customHeight="1">
      <c r="A180" s="64"/>
      <c r="B180" s="64"/>
      <c r="C180" s="61"/>
      <c r="D180" s="126" t="s">
        <v>216</v>
      </c>
      <c r="E180" s="76"/>
      <c r="F180" s="76"/>
      <c r="G180" s="76">
        <f>G181</f>
        <v>277259</v>
      </c>
      <c r="H180" s="92">
        <f>G180+E180-F180</f>
        <v>277259</v>
      </c>
    </row>
    <row r="181" spans="1:8" ht="21" customHeight="1">
      <c r="A181" s="64"/>
      <c r="B181" s="64"/>
      <c r="C181" s="63">
        <v>3240</v>
      </c>
      <c r="D181" s="63" t="s">
        <v>215</v>
      </c>
      <c r="E181" s="75"/>
      <c r="F181" s="75"/>
      <c r="G181" s="75">
        <v>277259</v>
      </c>
      <c r="H181" s="75">
        <f>E181-F181+G181</f>
        <v>277259</v>
      </c>
    </row>
    <row r="182" spans="1:8" ht="21" customHeight="1">
      <c r="A182" s="67">
        <v>900</v>
      </c>
      <c r="B182" s="67"/>
      <c r="C182" s="72"/>
      <c r="D182" s="72" t="s">
        <v>217</v>
      </c>
      <c r="E182" s="73">
        <v>31534160</v>
      </c>
      <c r="F182" s="73">
        <f>F183+F189</f>
        <v>190000</v>
      </c>
      <c r="G182" s="73">
        <f>G183+G189</f>
        <v>190000</v>
      </c>
      <c r="H182" s="73">
        <f aca="true" t="shared" si="5" ref="H182:H188">G182+E182-F182</f>
        <v>31534160</v>
      </c>
    </row>
    <row r="183" spans="1:8" s="84" customFormat="1" ht="21" customHeight="1">
      <c r="A183" s="132"/>
      <c r="B183" s="71">
        <v>90001</v>
      </c>
      <c r="C183" s="71"/>
      <c r="D183" s="71" t="s">
        <v>218</v>
      </c>
      <c r="E183" s="77">
        <v>4803800</v>
      </c>
      <c r="F183" s="77">
        <f>F184+F187</f>
        <v>150000</v>
      </c>
      <c r="G183" s="77">
        <f>G184+G187</f>
        <v>150000</v>
      </c>
      <c r="H183" s="77">
        <f t="shared" si="5"/>
        <v>4803800</v>
      </c>
    </row>
    <row r="184" spans="1:8" ht="21" customHeight="1">
      <c r="A184" s="64"/>
      <c r="B184" s="64"/>
      <c r="C184" s="65"/>
      <c r="D184" s="40" t="s">
        <v>193</v>
      </c>
      <c r="E184" s="76">
        <v>2070000</v>
      </c>
      <c r="F184" s="76">
        <f>F186</f>
        <v>50000</v>
      </c>
      <c r="G184" s="76">
        <f>G185</f>
        <v>150000</v>
      </c>
      <c r="H184" s="76">
        <f t="shared" si="5"/>
        <v>2170000</v>
      </c>
    </row>
    <row r="185" spans="1:8" ht="21" customHeight="1">
      <c r="A185" s="64"/>
      <c r="B185" s="64"/>
      <c r="C185" s="63">
        <v>4270</v>
      </c>
      <c r="D185" s="63" t="s">
        <v>5</v>
      </c>
      <c r="E185" s="75"/>
      <c r="F185" s="75"/>
      <c r="G185" s="75">
        <v>150000</v>
      </c>
      <c r="H185" s="75">
        <f>G185+E185-F185</f>
        <v>150000</v>
      </c>
    </row>
    <row r="186" spans="1:8" ht="21" customHeight="1">
      <c r="A186" s="64"/>
      <c r="B186" s="64"/>
      <c r="C186" s="63">
        <v>4300</v>
      </c>
      <c r="D186" s="119" t="s">
        <v>262</v>
      </c>
      <c r="E186" s="75">
        <v>2069000</v>
      </c>
      <c r="F186" s="75">
        <v>50000</v>
      </c>
      <c r="G186" s="75"/>
      <c r="H186" s="75">
        <f t="shared" si="5"/>
        <v>2019000</v>
      </c>
    </row>
    <row r="187" spans="1:8" ht="21" customHeight="1">
      <c r="A187" s="64"/>
      <c r="B187" s="64"/>
      <c r="C187" s="64"/>
      <c r="D187" s="499" t="s">
        <v>194</v>
      </c>
      <c r="E187" s="92">
        <v>200000</v>
      </c>
      <c r="F187" s="92">
        <f>F188</f>
        <v>100000</v>
      </c>
      <c r="G187" s="92"/>
      <c r="H187" s="92">
        <f>G187+E187-F187</f>
        <v>100000</v>
      </c>
    </row>
    <row r="188" spans="1:8" ht="21" customHeight="1">
      <c r="A188" s="64"/>
      <c r="B188" s="64"/>
      <c r="C188" s="63">
        <v>4520</v>
      </c>
      <c r="D188" s="63" t="s">
        <v>195</v>
      </c>
      <c r="E188" s="75">
        <v>200000</v>
      </c>
      <c r="F188" s="75">
        <v>100000</v>
      </c>
      <c r="G188" s="75"/>
      <c r="H188" s="75">
        <f t="shared" si="5"/>
        <v>100000</v>
      </c>
    </row>
    <row r="189" spans="1:8" s="84" customFormat="1" ht="21" customHeight="1">
      <c r="A189" s="70"/>
      <c r="B189" s="71">
        <v>90015</v>
      </c>
      <c r="C189" s="62"/>
      <c r="D189" s="62" t="s">
        <v>236</v>
      </c>
      <c r="E189" s="74">
        <v>3226000</v>
      </c>
      <c r="F189" s="74">
        <f>F190</f>
        <v>40000</v>
      </c>
      <c r="G189" s="74">
        <f>G190+G193</f>
        <v>40000</v>
      </c>
      <c r="H189" s="74">
        <f>G189+E189-F189</f>
        <v>3226000</v>
      </c>
    </row>
    <row r="190" spans="1:8" ht="21" customHeight="1">
      <c r="A190" s="64"/>
      <c r="B190" s="64"/>
      <c r="C190" s="64"/>
      <c r="D190" s="126" t="s">
        <v>196</v>
      </c>
      <c r="E190" s="92">
        <v>1400000</v>
      </c>
      <c r="F190" s="92">
        <f>F192</f>
        <v>40000</v>
      </c>
      <c r="G190" s="92">
        <f>G191</f>
        <v>34900</v>
      </c>
      <c r="H190" s="92">
        <f>E190-F190+G190</f>
        <v>1394900</v>
      </c>
    </row>
    <row r="191" spans="1:8" ht="21" customHeight="1">
      <c r="A191" s="64"/>
      <c r="B191" s="64"/>
      <c r="C191" s="63">
        <v>4270</v>
      </c>
      <c r="D191" s="119" t="s">
        <v>6</v>
      </c>
      <c r="E191" s="75"/>
      <c r="F191" s="75"/>
      <c r="G191" s="75">
        <v>34900</v>
      </c>
      <c r="H191" s="75">
        <f>E191-F191+G191</f>
        <v>34900</v>
      </c>
    </row>
    <row r="192" spans="1:8" ht="21" customHeight="1">
      <c r="A192" s="64"/>
      <c r="B192" s="64"/>
      <c r="C192" s="63">
        <v>4300</v>
      </c>
      <c r="D192" s="119" t="s">
        <v>262</v>
      </c>
      <c r="E192" s="75">
        <v>1400000</v>
      </c>
      <c r="F192" s="75">
        <v>40000</v>
      </c>
      <c r="G192" s="75"/>
      <c r="H192" s="75">
        <f>E192-F192+G192</f>
        <v>1360000</v>
      </c>
    </row>
    <row r="193" spans="1:8" ht="21" customHeight="1">
      <c r="A193" s="64"/>
      <c r="B193" s="64"/>
      <c r="C193" s="64"/>
      <c r="D193" s="126" t="s">
        <v>266</v>
      </c>
      <c r="E193" s="92"/>
      <c r="F193" s="92"/>
      <c r="G193" s="92">
        <f>G194</f>
        <v>5100</v>
      </c>
      <c r="H193" s="76">
        <f>G193+E193-F193</f>
        <v>5100</v>
      </c>
    </row>
    <row r="194" spans="1:8" ht="21" customHeight="1">
      <c r="A194" s="64"/>
      <c r="B194" s="111"/>
      <c r="C194" s="111"/>
      <c r="D194" s="491" t="s">
        <v>528</v>
      </c>
      <c r="E194" s="494"/>
      <c r="F194" s="494"/>
      <c r="G194" s="494">
        <f>G195</f>
        <v>5100</v>
      </c>
      <c r="H194" s="494">
        <f>E194-F194+G194</f>
        <v>5100</v>
      </c>
    </row>
    <row r="195" spans="1:8" ht="21" customHeight="1">
      <c r="A195" s="64"/>
      <c r="B195" s="162"/>
      <c r="C195" s="63">
        <v>6050</v>
      </c>
      <c r="D195" s="63" t="s">
        <v>263</v>
      </c>
      <c r="E195" s="489"/>
      <c r="F195" s="489"/>
      <c r="G195" s="489">
        <v>5100</v>
      </c>
      <c r="H195" s="489">
        <f>E195-F195+G195</f>
        <v>5100</v>
      </c>
    </row>
    <row r="196" spans="1:8" ht="19.5" customHeight="1">
      <c r="A196" s="67">
        <v>921</v>
      </c>
      <c r="B196" s="67"/>
      <c r="C196" s="72"/>
      <c r="D196" s="72" t="s">
        <v>357</v>
      </c>
      <c r="E196" s="73">
        <v>13499600</v>
      </c>
      <c r="F196" s="73">
        <f>F197</f>
        <v>25000</v>
      </c>
      <c r="G196" s="73">
        <f>G197</f>
        <v>25000</v>
      </c>
      <c r="H196" s="73">
        <f>G196+E196-F196</f>
        <v>13499600</v>
      </c>
    </row>
    <row r="197" spans="1:8" s="84" customFormat="1" ht="21" customHeight="1">
      <c r="A197" s="162"/>
      <c r="B197" s="62">
        <v>92110</v>
      </c>
      <c r="C197" s="62"/>
      <c r="D197" s="62" t="s">
        <v>374</v>
      </c>
      <c r="E197" s="77">
        <v>740000</v>
      </c>
      <c r="F197" s="77">
        <f>F201</f>
        <v>25000</v>
      </c>
      <c r="G197" s="77">
        <f>G200</f>
        <v>25000</v>
      </c>
      <c r="H197" s="77">
        <f>G197+E197-F197</f>
        <v>740000</v>
      </c>
    </row>
    <row r="198" spans="1:8" ht="21" customHeight="1">
      <c r="A198" s="162"/>
      <c r="B198" s="64"/>
      <c r="C198" s="64"/>
      <c r="D198" s="121" t="s">
        <v>7</v>
      </c>
      <c r="E198" s="76">
        <v>740000</v>
      </c>
      <c r="F198" s="76"/>
      <c r="G198" s="76"/>
      <c r="H198" s="76">
        <f>G198+E198-F198</f>
        <v>740000</v>
      </c>
    </row>
    <row r="199" spans="1:8" ht="21" customHeight="1">
      <c r="A199" s="162"/>
      <c r="B199" s="64"/>
      <c r="C199" s="64"/>
      <c r="D199" s="142" t="s">
        <v>375</v>
      </c>
      <c r="E199" s="520"/>
      <c r="F199" s="520"/>
      <c r="G199" s="468">
        <v>15000</v>
      </c>
      <c r="H199" s="468">
        <v>15000</v>
      </c>
    </row>
    <row r="200" spans="1:8" ht="21" customHeight="1">
      <c r="A200" s="162"/>
      <c r="B200" s="64"/>
      <c r="C200" s="63">
        <v>2550</v>
      </c>
      <c r="D200" s="63" t="s">
        <v>376</v>
      </c>
      <c r="E200" s="75">
        <v>710000</v>
      </c>
      <c r="F200" s="75"/>
      <c r="G200" s="75">
        <v>25000</v>
      </c>
      <c r="H200" s="75">
        <f>G200+E200-F200</f>
        <v>735000</v>
      </c>
    </row>
    <row r="201" spans="1:8" ht="21" customHeight="1">
      <c r="A201" s="162"/>
      <c r="B201" s="64"/>
      <c r="C201" s="64"/>
      <c r="D201" s="142" t="s">
        <v>266</v>
      </c>
      <c r="E201" s="591">
        <v>30000</v>
      </c>
      <c r="F201" s="591">
        <f>F202</f>
        <v>25000</v>
      </c>
      <c r="G201" s="591"/>
      <c r="H201" s="591">
        <f>G201+E201-F201</f>
        <v>5000</v>
      </c>
    </row>
    <row r="202" spans="1:8" ht="42" customHeight="1">
      <c r="A202" s="162"/>
      <c r="B202" s="64"/>
      <c r="C202" s="63">
        <v>6220</v>
      </c>
      <c r="D202" s="119" t="s">
        <v>377</v>
      </c>
      <c r="E202" s="75">
        <v>30000</v>
      </c>
      <c r="F202" s="75">
        <v>25000</v>
      </c>
      <c r="G202" s="75"/>
      <c r="H202" s="75">
        <f>G202+E202-F202</f>
        <v>5000</v>
      </c>
    </row>
    <row r="203" spans="1:8" ht="34.5" customHeight="1">
      <c r="A203" s="85"/>
      <c r="B203" s="85"/>
      <c r="C203" s="85"/>
      <c r="D203" s="731" t="s">
        <v>199</v>
      </c>
      <c r="E203" s="732">
        <v>2653981</v>
      </c>
      <c r="F203" s="732"/>
      <c r="G203" s="732"/>
      <c r="H203" s="732">
        <f>G203+E203-F203</f>
        <v>2653981</v>
      </c>
    </row>
    <row r="204" spans="1:8" ht="21.75" customHeight="1" thickBot="1">
      <c r="A204" s="64"/>
      <c r="B204" s="64"/>
      <c r="C204" s="64"/>
      <c r="D204" s="144" t="s">
        <v>220</v>
      </c>
      <c r="E204" s="145">
        <v>53977729</v>
      </c>
      <c r="F204" s="145">
        <f>F206+F207</f>
        <v>16000</v>
      </c>
      <c r="G204" s="145">
        <f>G206+G207</f>
        <v>24851</v>
      </c>
      <c r="H204" s="145">
        <f>G204+E204-F204</f>
        <v>53986580</v>
      </c>
    </row>
    <row r="205" spans="1:8" ht="19.5" customHeight="1" thickTop="1">
      <c r="A205" s="64"/>
      <c r="B205" s="64"/>
      <c r="C205" s="64"/>
      <c r="D205" s="64" t="s">
        <v>224</v>
      </c>
      <c r="E205" s="86"/>
      <c r="F205" s="86"/>
      <c r="G205" s="86"/>
      <c r="H205" s="86"/>
    </row>
    <row r="206" spans="1:9" ht="23.25" customHeight="1" thickBot="1">
      <c r="A206" s="64"/>
      <c r="B206" s="64"/>
      <c r="C206" s="64"/>
      <c r="D206" s="146" t="s">
        <v>221</v>
      </c>
      <c r="E206" s="147">
        <v>33306195</v>
      </c>
      <c r="F206" s="147"/>
      <c r="G206" s="147"/>
      <c r="H206" s="147">
        <f>G206+E206-F206</f>
        <v>33306195</v>
      </c>
      <c r="I206" s="93">
        <f>G206-F206</f>
        <v>0</v>
      </c>
    </row>
    <row r="207" spans="1:9" ht="32.25" customHeight="1" thickTop="1">
      <c r="A207" s="85"/>
      <c r="B207" s="85"/>
      <c r="C207" s="85"/>
      <c r="D207" s="666" t="s">
        <v>222</v>
      </c>
      <c r="E207" s="667">
        <v>20671534</v>
      </c>
      <c r="F207" s="667">
        <f>F208+F213</f>
        <v>16000</v>
      </c>
      <c r="G207" s="667">
        <f>G208+G213</f>
        <v>24851</v>
      </c>
      <c r="H207" s="667">
        <f aca="true" t="shared" si="6" ref="H207:H216">G207+E207-F207</f>
        <v>20680385</v>
      </c>
      <c r="I207" s="93">
        <f>G207-F207</f>
        <v>8851</v>
      </c>
    </row>
    <row r="208" spans="1:8" ht="23.25" customHeight="1">
      <c r="A208" s="72">
        <v>700</v>
      </c>
      <c r="B208" s="72"/>
      <c r="C208" s="72"/>
      <c r="D208" s="72" t="s">
        <v>308</v>
      </c>
      <c r="E208" s="73">
        <v>320000</v>
      </c>
      <c r="F208" s="73">
        <f>F209</f>
        <v>16000</v>
      </c>
      <c r="G208" s="73">
        <f>G209</f>
        <v>16000</v>
      </c>
      <c r="H208" s="73">
        <f t="shared" si="6"/>
        <v>320000</v>
      </c>
    </row>
    <row r="209" spans="1:8" ht="21" customHeight="1">
      <c r="A209" s="64"/>
      <c r="B209" s="62">
        <v>70005</v>
      </c>
      <c r="C209" s="62"/>
      <c r="D209" s="62" t="s">
        <v>322</v>
      </c>
      <c r="E209" s="74">
        <v>320000</v>
      </c>
      <c r="F209" s="74">
        <f>F210</f>
        <v>16000</v>
      </c>
      <c r="G209" s="74">
        <f>G210</f>
        <v>16000</v>
      </c>
      <c r="H209" s="74">
        <f t="shared" si="6"/>
        <v>320000</v>
      </c>
    </row>
    <row r="210" spans="1:8" ht="21" customHeight="1">
      <c r="A210" s="64"/>
      <c r="B210" s="65"/>
      <c r="C210" s="65"/>
      <c r="D210" s="121" t="s">
        <v>187</v>
      </c>
      <c r="E210" s="76">
        <v>320000</v>
      </c>
      <c r="F210" s="76">
        <f>F212</f>
        <v>16000</v>
      </c>
      <c r="G210" s="76">
        <f>G211</f>
        <v>16000</v>
      </c>
      <c r="H210" s="76">
        <f t="shared" si="6"/>
        <v>320000</v>
      </c>
    </row>
    <row r="211" spans="1:8" ht="21" customHeight="1">
      <c r="A211" s="64"/>
      <c r="B211" s="64"/>
      <c r="C211" s="63">
        <v>4210</v>
      </c>
      <c r="D211" s="119" t="s">
        <v>270</v>
      </c>
      <c r="E211" s="75"/>
      <c r="F211" s="75"/>
      <c r="G211" s="75">
        <v>16000</v>
      </c>
      <c r="H211" s="75">
        <f t="shared" si="6"/>
        <v>16000</v>
      </c>
    </row>
    <row r="212" spans="1:8" ht="21" customHeight="1">
      <c r="A212" s="85"/>
      <c r="B212" s="85"/>
      <c r="C212" s="63">
        <v>4590</v>
      </c>
      <c r="D212" s="63" t="s">
        <v>265</v>
      </c>
      <c r="E212" s="75">
        <v>86600</v>
      </c>
      <c r="F212" s="75">
        <v>16000</v>
      </c>
      <c r="G212" s="75"/>
      <c r="H212" s="75">
        <f t="shared" si="6"/>
        <v>70600</v>
      </c>
    </row>
    <row r="213" spans="1:8" ht="21" customHeight="1">
      <c r="A213" s="72">
        <v>853</v>
      </c>
      <c r="B213" s="72"/>
      <c r="C213" s="72"/>
      <c r="D213" s="72" t="s">
        <v>229</v>
      </c>
      <c r="E213" s="73">
        <v>3983000</v>
      </c>
      <c r="F213" s="73"/>
      <c r="G213" s="73">
        <f>G214</f>
        <v>8851</v>
      </c>
      <c r="H213" s="73">
        <f t="shared" si="6"/>
        <v>3991851</v>
      </c>
    </row>
    <row r="214" spans="1:8" ht="21" customHeight="1">
      <c r="A214" s="64"/>
      <c r="B214" s="71">
        <v>85334</v>
      </c>
      <c r="C214" s="71"/>
      <c r="D214" s="39" t="s">
        <v>350</v>
      </c>
      <c r="E214" s="77"/>
      <c r="F214" s="77"/>
      <c r="G214" s="77">
        <f>G215</f>
        <v>8851</v>
      </c>
      <c r="H214" s="77">
        <f t="shared" si="6"/>
        <v>8851</v>
      </c>
    </row>
    <row r="215" spans="1:8" ht="21" customHeight="1">
      <c r="A215" s="64"/>
      <c r="B215" s="64"/>
      <c r="C215" s="64"/>
      <c r="D215" s="40" t="s">
        <v>351</v>
      </c>
      <c r="E215" s="76"/>
      <c r="F215" s="76"/>
      <c r="G215" s="76">
        <f>G216</f>
        <v>8851</v>
      </c>
      <c r="H215" s="76">
        <f t="shared" si="6"/>
        <v>8851</v>
      </c>
    </row>
    <row r="216" spans="1:8" ht="21" customHeight="1">
      <c r="A216" s="85"/>
      <c r="B216" s="85"/>
      <c r="C216" s="63">
        <v>3110</v>
      </c>
      <c r="D216" s="78" t="s">
        <v>211</v>
      </c>
      <c r="E216" s="90"/>
      <c r="F216" s="90"/>
      <c r="G216" s="90">
        <v>8851</v>
      </c>
      <c r="H216" s="90">
        <f t="shared" si="6"/>
        <v>8851</v>
      </c>
    </row>
  </sheetData>
  <mergeCells count="1">
    <mergeCell ref="E7:E10"/>
  </mergeCells>
  <printOptions horizontalCentered="1"/>
  <pageMargins left="0.5905511811023623" right="0.5905511811023623" top="0.5905511811023623" bottom="0.5905511811023623" header="0.5118110236220472" footer="0.3937007874015748"/>
  <pageSetup firstPageNumber="15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3"/>
  <dimension ref="A1:J641"/>
  <sheetViews>
    <sheetView tabSelected="1" zoomScale="75" zoomScaleNormal="75" workbookViewId="0" topLeftCell="A123">
      <selection activeCell="G127" sqref="G127:G134"/>
    </sheetView>
  </sheetViews>
  <sheetFormatPr defaultColWidth="9.00390625" defaultRowHeight="12.75"/>
  <cols>
    <col min="1" max="1" width="7.625" style="0" customWidth="1"/>
    <col min="2" max="2" width="8.875" style="0" customWidth="1"/>
    <col min="3" max="3" width="8.75390625" style="0" customWidth="1"/>
    <col min="4" max="4" width="53.75390625" style="0" customWidth="1"/>
    <col min="5" max="5" width="19.25390625" style="0" customWidth="1"/>
    <col min="6" max="6" width="18.375" style="0" customWidth="1"/>
    <col min="7" max="7" width="17.875" style="0" customWidth="1"/>
    <col min="8" max="9" width="10.375" style="0" bestFit="1" customWidth="1"/>
  </cols>
  <sheetData>
    <row r="1" ht="12.75">
      <c r="F1" s="93" t="s">
        <v>355</v>
      </c>
    </row>
    <row r="2" spans="1:6" ht="12.75">
      <c r="A2" s="84" t="s">
        <v>433</v>
      </c>
      <c r="F2" s="81" t="s">
        <v>538</v>
      </c>
    </row>
    <row r="3" spans="1:6" ht="12.75">
      <c r="A3" s="84" t="s">
        <v>353</v>
      </c>
      <c r="F3" s="81" t="s">
        <v>179</v>
      </c>
    </row>
    <row r="4" ht="12.75">
      <c r="F4" s="81" t="s">
        <v>361</v>
      </c>
    </row>
    <row r="6" ht="13.5" thickBot="1">
      <c r="G6" t="s">
        <v>245</v>
      </c>
    </row>
    <row r="7" spans="1:7" ht="18.75" customHeight="1" thickTop="1">
      <c r="A7" s="3"/>
      <c r="B7" s="4"/>
      <c r="C7" s="4"/>
      <c r="D7" s="5" t="s">
        <v>233</v>
      </c>
      <c r="E7" s="152" t="s">
        <v>202</v>
      </c>
      <c r="F7" s="170" t="s">
        <v>210</v>
      </c>
      <c r="G7" s="152"/>
    </row>
    <row r="8" spans="1:7" ht="21.75" customHeight="1" thickBot="1">
      <c r="A8" s="6" t="s">
        <v>241</v>
      </c>
      <c r="B8" s="7" t="s">
        <v>240</v>
      </c>
      <c r="C8" s="7" t="s">
        <v>243</v>
      </c>
      <c r="D8" s="7"/>
      <c r="E8" s="150" t="s">
        <v>204</v>
      </c>
      <c r="F8" s="151" t="s">
        <v>203</v>
      </c>
      <c r="G8" s="150" t="s">
        <v>204</v>
      </c>
    </row>
    <row r="9" spans="1:7" ht="14.25" thickBot="1" thickTop="1">
      <c r="A9" s="50">
        <v>1</v>
      </c>
      <c r="B9" s="50">
        <v>2</v>
      </c>
      <c r="C9" s="50">
        <v>3</v>
      </c>
      <c r="D9" s="50">
        <v>4</v>
      </c>
      <c r="E9" s="51">
        <v>5</v>
      </c>
      <c r="F9" s="51">
        <v>6</v>
      </c>
      <c r="G9" s="51">
        <v>7</v>
      </c>
    </row>
    <row r="10" spans="1:10" ht="21.75" customHeight="1" thickBot="1" thickTop="1">
      <c r="A10" s="153"/>
      <c r="B10" s="153"/>
      <c r="C10" s="153"/>
      <c r="D10" s="158" t="s">
        <v>208</v>
      </c>
      <c r="E10" s="157">
        <f>E11+E480</f>
        <v>713599</v>
      </c>
      <c r="F10" s="157">
        <f>F11+F480+F457+F523</f>
        <v>3315548</v>
      </c>
      <c r="G10" s="157">
        <f>G11+G403+G410+G420+G427+G434+G441+G450+G457+G473+G480+G523</f>
        <v>4029147</v>
      </c>
      <c r="H10" s="149">
        <f>E10</f>
        <v>713599</v>
      </c>
      <c r="I10" s="82">
        <f>G10-F10</f>
        <v>713599</v>
      </c>
      <c r="J10" s="82">
        <f>I10-H10</f>
        <v>0</v>
      </c>
    </row>
    <row r="11" spans="1:8" ht="21" customHeight="1">
      <c r="A11" s="154"/>
      <c r="B11" s="154"/>
      <c r="C11" s="154"/>
      <c r="D11" s="155" t="s">
        <v>362</v>
      </c>
      <c r="E11" s="156">
        <f>E12</f>
        <v>713599</v>
      </c>
      <c r="F11" s="156">
        <f>F12+F35+F52+F77+F97+F350+F366+F373</f>
        <v>3257739</v>
      </c>
      <c r="G11" s="156">
        <f>G35+G77+G52+G366+G373+G97+G350+G387+G394</f>
        <v>2933331</v>
      </c>
      <c r="H11" s="131"/>
    </row>
    <row r="12" spans="1:7" ht="18" customHeight="1">
      <c r="A12" s="154"/>
      <c r="B12" s="154"/>
      <c r="C12" s="154"/>
      <c r="D12" s="155" t="s">
        <v>205</v>
      </c>
      <c r="E12" s="156">
        <f>E13+E19</f>
        <v>713599</v>
      </c>
      <c r="F12" s="156">
        <f>F30</f>
        <v>1000</v>
      </c>
      <c r="G12" s="156"/>
    </row>
    <row r="13" spans="1:8" ht="18" customHeight="1" thickBot="1">
      <c r="A13" s="56"/>
      <c r="B13" s="57"/>
      <c r="C13" s="10"/>
      <c r="D13" s="11" t="s">
        <v>206</v>
      </c>
      <c r="E13" s="12">
        <f>E14</f>
        <v>427489</v>
      </c>
      <c r="F13" s="12"/>
      <c r="G13" s="12"/>
      <c r="H13" s="82">
        <f>E13</f>
        <v>427489</v>
      </c>
    </row>
    <row r="14" spans="1:7" ht="18" customHeight="1" thickBot="1">
      <c r="A14" s="35"/>
      <c r="B14" s="20"/>
      <c r="C14" s="20"/>
      <c r="D14" s="38" t="s">
        <v>239</v>
      </c>
      <c r="E14" s="15">
        <f>E15</f>
        <v>427489</v>
      </c>
      <c r="F14" s="15"/>
      <c r="G14" s="15"/>
    </row>
    <row r="15" spans="1:7" ht="18" customHeight="1" thickTop="1">
      <c r="A15" s="32">
        <v>853</v>
      </c>
      <c r="B15" s="16"/>
      <c r="C15" s="16"/>
      <c r="D15" s="17" t="s">
        <v>229</v>
      </c>
      <c r="E15" s="18">
        <f>E16</f>
        <v>427489</v>
      </c>
      <c r="F15" s="18"/>
      <c r="G15" s="18"/>
    </row>
    <row r="16" spans="1:7" ht="18" customHeight="1">
      <c r="A16" s="22"/>
      <c r="B16" s="30">
        <v>85315</v>
      </c>
      <c r="C16" s="30"/>
      <c r="D16" s="23" t="s">
        <v>234</v>
      </c>
      <c r="E16" s="34">
        <f>E17</f>
        <v>427489</v>
      </c>
      <c r="F16" s="34"/>
      <c r="G16" s="34"/>
    </row>
    <row r="17" spans="1:7" ht="25.5">
      <c r="A17" s="8"/>
      <c r="B17" s="37"/>
      <c r="C17" s="37"/>
      <c r="D17" s="25" t="s">
        <v>252</v>
      </c>
      <c r="E17" s="26">
        <f>E18</f>
        <v>427489</v>
      </c>
      <c r="F17" s="26"/>
      <c r="G17" s="26"/>
    </row>
    <row r="18" spans="1:7" ht="27" customHeight="1">
      <c r="A18" s="8"/>
      <c r="B18" s="9"/>
      <c r="C18" s="58">
        <v>203</v>
      </c>
      <c r="D18" s="54" t="s">
        <v>184</v>
      </c>
      <c r="E18" s="55">
        <v>427489</v>
      </c>
      <c r="F18" s="55"/>
      <c r="G18" s="55"/>
    </row>
    <row r="19" spans="1:8" ht="18" customHeight="1" thickBot="1">
      <c r="A19" s="8"/>
      <c r="B19" s="9"/>
      <c r="C19" s="9"/>
      <c r="D19" s="11" t="s">
        <v>207</v>
      </c>
      <c r="E19" s="12">
        <f>E20+E25</f>
        <v>286110</v>
      </c>
      <c r="F19" s="45"/>
      <c r="G19" s="45"/>
      <c r="H19" s="82">
        <f>E19</f>
        <v>286110</v>
      </c>
    </row>
    <row r="20" spans="1:7" ht="18" customHeight="1" thickBot="1">
      <c r="A20" s="21"/>
      <c r="B20" s="46"/>
      <c r="C20" s="46"/>
      <c r="D20" s="48" t="s">
        <v>239</v>
      </c>
      <c r="E20" s="49">
        <f>E21</f>
        <v>277259</v>
      </c>
      <c r="F20" s="49"/>
      <c r="G20" s="49"/>
    </row>
    <row r="21" spans="1:7" ht="18" customHeight="1" thickTop="1">
      <c r="A21" s="67">
        <v>854</v>
      </c>
      <c r="B21" s="67"/>
      <c r="C21" s="68"/>
      <c r="D21" s="47" t="s">
        <v>238</v>
      </c>
      <c r="E21" s="47">
        <f>E22</f>
        <v>277259</v>
      </c>
      <c r="F21" s="47"/>
      <c r="G21" s="47"/>
    </row>
    <row r="22" spans="1:7" ht="18" customHeight="1">
      <c r="A22" s="69"/>
      <c r="B22" s="20">
        <v>85415</v>
      </c>
      <c r="C22" s="60"/>
      <c r="D22" s="36" t="s">
        <v>253</v>
      </c>
      <c r="E22" s="24">
        <f>E23</f>
        <v>277259</v>
      </c>
      <c r="F22" s="46"/>
      <c r="G22" s="46"/>
    </row>
    <row r="23" spans="1:7" ht="25.5">
      <c r="A23" s="69"/>
      <c r="B23" s="91"/>
      <c r="C23" s="91"/>
      <c r="D23" s="25" t="s">
        <v>11</v>
      </c>
      <c r="E23" s="31">
        <f>E24</f>
        <v>277259</v>
      </c>
      <c r="F23" s="88"/>
      <c r="G23" s="88"/>
    </row>
    <row r="24" spans="1:7" ht="25.5">
      <c r="A24" s="69"/>
      <c r="B24" s="57"/>
      <c r="C24" s="58">
        <v>213</v>
      </c>
      <c r="D24" s="54" t="s">
        <v>254</v>
      </c>
      <c r="E24" s="53">
        <v>277259</v>
      </c>
      <c r="F24" s="46"/>
      <c r="G24" s="46"/>
    </row>
    <row r="25" spans="1:7" ht="27" customHeight="1" thickBot="1">
      <c r="A25" s="66"/>
      <c r="B25" s="66"/>
      <c r="C25" s="66"/>
      <c r="D25" s="38" t="s">
        <v>249</v>
      </c>
      <c r="E25" s="15">
        <f>E26</f>
        <v>8851</v>
      </c>
      <c r="F25" s="15"/>
      <c r="G25" s="15"/>
    </row>
    <row r="26" spans="1:7" ht="19.5" customHeight="1" thickTop="1">
      <c r="A26" s="72">
        <v>853</v>
      </c>
      <c r="B26" s="72"/>
      <c r="C26" s="72"/>
      <c r="D26" s="17" t="s">
        <v>229</v>
      </c>
      <c r="E26" s="73">
        <f>E27</f>
        <v>8851</v>
      </c>
      <c r="F26" s="73"/>
      <c r="G26" s="73"/>
    </row>
    <row r="27" spans="1:7" ht="19.5" customHeight="1">
      <c r="A27" s="70"/>
      <c r="B27" s="71">
        <v>85334</v>
      </c>
      <c r="C27" s="62"/>
      <c r="D27" s="42" t="s">
        <v>350</v>
      </c>
      <c r="E27" s="74">
        <f>E28</f>
        <v>8851</v>
      </c>
      <c r="F27" s="74"/>
      <c r="G27" s="74"/>
    </row>
    <row r="28" spans="1:7" ht="20.25" customHeight="1">
      <c r="A28" s="64"/>
      <c r="B28" s="64"/>
      <c r="C28" s="37"/>
      <c r="D28" s="25" t="s">
        <v>520</v>
      </c>
      <c r="E28" s="41">
        <f>E29</f>
        <v>8851</v>
      </c>
      <c r="F28" s="41"/>
      <c r="G28" s="41"/>
    </row>
    <row r="29" spans="1:7" ht="38.25" customHeight="1">
      <c r="A29" s="63"/>
      <c r="B29" s="63"/>
      <c r="C29" s="58">
        <v>211</v>
      </c>
      <c r="D29" s="54" t="s">
        <v>247</v>
      </c>
      <c r="E29" s="59">
        <v>8851</v>
      </c>
      <c r="F29" s="80"/>
      <c r="G29" s="80"/>
    </row>
    <row r="30" spans="1:7" ht="19.5" customHeight="1" thickBot="1">
      <c r="A30" s="166"/>
      <c r="B30" s="166"/>
      <c r="C30" s="166"/>
      <c r="D30" s="459" t="s">
        <v>261</v>
      </c>
      <c r="E30" s="462"/>
      <c r="F30" s="463">
        <f>F31</f>
        <v>1000</v>
      </c>
      <c r="G30" s="463"/>
    </row>
    <row r="31" spans="1:7" ht="19.5" customHeight="1" thickTop="1">
      <c r="A31" s="72">
        <v>758</v>
      </c>
      <c r="B31" s="72"/>
      <c r="C31" s="72"/>
      <c r="D31" s="72" t="s">
        <v>155</v>
      </c>
      <c r="E31" s="73"/>
      <c r="F31" s="73">
        <f>F32</f>
        <v>1000</v>
      </c>
      <c r="G31" s="73"/>
    </row>
    <row r="32" spans="1:7" ht="19.5" customHeight="1">
      <c r="A32" s="64"/>
      <c r="B32" s="71">
        <v>75818</v>
      </c>
      <c r="C32" s="71"/>
      <c r="D32" s="71" t="s">
        <v>157</v>
      </c>
      <c r="E32" s="77"/>
      <c r="F32" s="77">
        <f>F33</f>
        <v>1000</v>
      </c>
      <c r="G32" s="77"/>
    </row>
    <row r="33" spans="1:7" ht="19.5" customHeight="1">
      <c r="A33" s="64"/>
      <c r="B33" s="65"/>
      <c r="C33" s="65"/>
      <c r="D33" s="40" t="s">
        <v>156</v>
      </c>
      <c r="E33" s="92"/>
      <c r="F33" s="76">
        <f>F34</f>
        <v>1000</v>
      </c>
      <c r="G33" s="76"/>
    </row>
    <row r="34" spans="1:7" ht="19.5" customHeight="1">
      <c r="A34" s="64"/>
      <c r="B34" s="64"/>
      <c r="C34" s="63">
        <v>4810</v>
      </c>
      <c r="D34" s="63" t="s">
        <v>158</v>
      </c>
      <c r="E34" s="75"/>
      <c r="F34" s="75">
        <v>1000</v>
      </c>
      <c r="G34" s="75"/>
    </row>
    <row r="35" spans="1:8" ht="18.75" customHeight="1">
      <c r="A35" s="162"/>
      <c r="B35" s="162"/>
      <c r="C35" s="162"/>
      <c r="D35" s="164" t="s">
        <v>159</v>
      </c>
      <c r="E35" s="164"/>
      <c r="F35" s="168">
        <f>F36+F46</f>
        <v>111000</v>
      </c>
      <c r="G35" s="168">
        <f>G36+G46</f>
        <v>112000</v>
      </c>
      <c r="H35" s="82">
        <f>G35-F35</f>
        <v>1000</v>
      </c>
    </row>
    <row r="36" spans="1:7" ht="18.75" customHeight="1" thickBot="1">
      <c r="A36" s="166"/>
      <c r="B36" s="166"/>
      <c r="C36" s="166"/>
      <c r="D36" s="459" t="s">
        <v>261</v>
      </c>
      <c r="E36" s="461"/>
      <c r="F36" s="460">
        <f>F41</f>
        <v>95000</v>
      </c>
      <c r="G36" s="460">
        <f>G37+G41</f>
        <v>96000</v>
      </c>
    </row>
    <row r="37" spans="1:7" ht="18.75" customHeight="1" thickTop="1">
      <c r="A37" s="554" t="s">
        <v>360</v>
      </c>
      <c r="B37" s="72"/>
      <c r="C37" s="72"/>
      <c r="D37" s="72" t="s">
        <v>188</v>
      </c>
      <c r="E37" s="29"/>
      <c r="F37" s="29"/>
      <c r="G37" s="29">
        <f>G38</f>
        <v>1000</v>
      </c>
    </row>
    <row r="38" spans="1:7" ht="18.75" customHeight="1">
      <c r="A38" s="64"/>
      <c r="B38" s="496" t="s">
        <v>189</v>
      </c>
      <c r="C38" s="71"/>
      <c r="D38" s="71" t="s">
        <v>190</v>
      </c>
      <c r="E38" s="522"/>
      <c r="F38" s="522"/>
      <c r="G38" s="522">
        <f>G39</f>
        <v>1000</v>
      </c>
    </row>
    <row r="39" spans="1:7" ht="21" customHeight="1">
      <c r="A39" s="64"/>
      <c r="B39" s="64"/>
      <c r="C39" s="64"/>
      <c r="D39" s="40" t="s">
        <v>191</v>
      </c>
      <c r="E39" s="523"/>
      <c r="F39" s="523"/>
      <c r="G39" s="523">
        <f>G40</f>
        <v>1000</v>
      </c>
    </row>
    <row r="40" spans="1:7" ht="20.25" customHeight="1">
      <c r="A40" s="64"/>
      <c r="B40" s="64"/>
      <c r="C40" s="63">
        <v>4300</v>
      </c>
      <c r="D40" s="129" t="s">
        <v>262</v>
      </c>
      <c r="E40" s="489"/>
      <c r="F40" s="489"/>
      <c r="G40" s="489">
        <v>1000</v>
      </c>
    </row>
    <row r="41" spans="1:7" ht="18.75" customHeight="1">
      <c r="A41" s="67">
        <v>700</v>
      </c>
      <c r="B41" s="67"/>
      <c r="C41" s="72"/>
      <c r="D41" s="72" t="s">
        <v>308</v>
      </c>
      <c r="E41" s="29"/>
      <c r="F41" s="29">
        <f>F42</f>
        <v>95000</v>
      </c>
      <c r="G41" s="29">
        <f>G42</f>
        <v>95000</v>
      </c>
    </row>
    <row r="42" spans="1:7" ht="18.75" customHeight="1">
      <c r="A42" s="64"/>
      <c r="B42" s="71">
        <v>70005</v>
      </c>
      <c r="C42" s="71"/>
      <c r="D42" s="71" t="s">
        <v>322</v>
      </c>
      <c r="E42" s="522"/>
      <c r="F42" s="522">
        <f>F43</f>
        <v>95000</v>
      </c>
      <c r="G42" s="522">
        <f>G43</f>
        <v>95000</v>
      </c>
    </row>
    <row r="43" spans="1:7" ht="24.75" customHeight="1">
      <c r="A43" s="64"/>
      <c r="B43" s="64"/>
      <c r="C43" s="64"/>
      <c r="D43" s="40" t="s">
        <v>321</v>
      </c>
      <c r="E43" s="523"/>
      <c r="F43" s="523">
        <f>F45</f>
        <v>95000</v>
      </c>
      <c r="G43" s="523">
        <f>G44</f>
        <v>95000</v>
      </c>
    </row>
    <row r="44" spans="1:7" ht="27" customHeight="1">
      <c r="A44" s="64"/>
      <c r="B44" s="64"/>
      <c r="C44" s="63">
        <v>4270</v>
      </c>
      <c r="D44" s="742" t="s">
        <v>0</v>
      </c>
      <c r="E44" s="489"/>
      <c r="F44" s="489"/>
      <c r="G44" s="489">
        <v>95000</v>
      </c>
    </row>
    <row r="45" spans="1:7" ht="18.75" customHeight="1">
      <c r="A45" s="64"/>
      <c r="B45" s="64"/>
      <c r="C45" s="63">
        <v>4300</v>
      </c>
      <c r="D45" s="129" t="s">
        <v>262</v>
      </c>
      <c r="E45" s="489"/>
      <c r="F45" s="489">
        <v>95000</v>
      </c>
      <c r="G45" s="489"/>
    </row>
    <row r="46" spans="1:7" ht="27.75" customHeight="1" thickBot="1">
      <c r="A46" s="166"/>
      <c r="B46" s="166"/>
      <c r="C46" s="166"/>
      <c r="D46" s="555" t="s">
        <v>222</v>
      </c>
      <c r="E46" s="461"/>
      <c r="F46" s="460">
        <f>F51</f>
        <v>16000</v>
      </c>
      <c r="G46" s="460">
        <f>G47+G51</f>
        <v>16000</v>
      </c>
    </row>
    <row r="47" spans="1:7" ht="18.75" customHeight="1" thickTop="1">
      <c r="A47" s="67">
        <v>700</v>
      </c>
      <c r="B47" s="67"/>
      <c r="C47" s="72"/>
      <c r="D47" s="72" t="s">
        <v>308</v>
      </c>
      <c r="E47" s="29"/>
      <c r="F47" s="29">
        <f>F48</f>
        <v>16000</v>
      </c>
      <c r="G47" s="29">
        <f>G48</f>
        <v>16000</v>
      </c>
    </row>
    <row r="48" spans="1:7" ht="18.75" customHeight="1">
      <c r="A48" s="64"/>
      <c r="B48" s="71">
        <v>70005</v>
      </c>
      <c r="C48" s="71"/>
      <c r="D48" s="71" t="s">
        <v>322</v>
      </c>
      <c r="E48" s="522"/>
      <c r="F48" s="522">
        <f>F49</f>
        <v>16000</v>
      </c>
      <c r="G48" s="522">
        <f>G49</f>
        <v>16000</v>
      </c>
    </row>
    <row r="49" spans="1:7" ht="21" customHeight="1">
      <c r="A49" s="64"/>
      <c r="B49" s="64"/>
      <c r="C49" s="64"/>
      <c r="D49" s="40" t="s">
        <v>187</v>
      </c>
      <c r="E49" s="523"/>
      <c r="F49" s="523">
        <f>F51</f>
        <v>16000</v>
      </c>
      <c r="G49" s="523">
        <f>G50</f>
        <v>16000</v>
      </c>
    </row>
    <row r="50" spans="1:7" ht="18.75" customHeight="1">
      <c r="A50" s="64"/>
      <c r="B50" s="64"/>
      <c r="C50" s="63">
        <v>4210</v>
      </c>
      <c r="D50" s="129" t="s">
        <v>270</v>
      </c>
      <c r="E50" s="489"/>
      <c r="F50" s="489"/>
      <c r="G50" s="489">
        <v>16000</v>
      </c>
    </row>
    <row r="51" spans="1:7" ht="18.75" customHeight="1">
      <c r="A51" s="64"/>
      <c r="B51" s="64"/>
      <c r="C51" s="63">
        <v>4590</v>
      </c>
      <c r="D51" s="129" t="s">
        <v>265</v>
      </c>
      <c r="E51" s="489"/>
      <c r="F51" s="489">
        <v>16000</v>
      </c>
      <c r="G51" s="489"/>
    </row>
    <row r="52" spans="1:8" ht="18" customHeight="1">
      <c r="A52" s="162"/>
      <c r="B52" s="162"/>
      <c r="C52" s="162"/>
      <c r="D52" s="164" t="s">
        <v>209</v>
      </c>
      <c r="E52" s="164"/>
      <c r="F52" s="168">
        <f>F53</f>
        <v>210000</v>
      </c>
      <c r="G52" s="168">
        <f>G53</f>
        <v>210000</v>
      </c>
      <c r="H52" s="82">
        <f>G52-F52</f>
        <v>0</v>
      </c>
    </row>
    <row r="53" spans="1:7" ht="19.5" customHeight="1" thickBot="1">
      <c r="A53" s="166"/>
      <c r="B53" s="166"/>
      <c r="C53" s="166"/>
      <c r="D53" s="459" t="s">
        <v>261</v>
      </c>
      <c r="E53" s="461"/>
      <c r="F53" s="460">
        <f>F54+F63</f>
        <v>210000</v>
      </c>
      <c r="G53" s="460">
        <f>G54+G63</f>
        <v>210000</v>
      </c>
    </row>
    <row r="54" spans="1:7" ht="19.5" customHeight="1" thickTop="1">
      <c r="A54" s="67">
        <v>600</v>
      </c>
      <c r="B54" s="67"/>
      <c r="C54" s="72"/>
      <c r="D54" s="72" t="s">
        <v>291</v>
      </c>
      <c r="E54" s="73"/>
      <c r="F54" s="73">
        <f>F55+F59</f>
        <v>20000</v>
      </c>
      <c r="G54" s="73">
        <f>G55+G59</f>
        <v>20000</v>
      </c>
    </row>
    <row r="55" spans="1:7" ht="19.5" customHeight="1">
      <c r="A55" s="64"/>
      <c r="B55" s="71">
        <v>60015</v>
      </c>
      <c r="C55" s="71"/>
      <c r="D55" s="71" t="s">
        <v>292</v>
      </c>
      <c r="E55" s="77"/>
      <c r="F55" s="77">
        <f>F56</f>
        <v>10000</v>
      </c>
      <c r="G55" s="77">
        <f>G56</f>
        <v>10000</v>
      </c>
    </row>
    <row r="56" spans="1:7" ht="19.5" customHeight="1">
      <c r="A56" s="85"/>
      <c r="B56" s="85"/>
      <c r="C56" s="85"/>
      <c r="D56" s="85" t="s">
        <v>192</v>
      </c>
      <c r="E56" s="231"/>
      <c r="F56" s="231">
        <f>F57</f>
        <v>10000</v>
      </c>
      <c r="G56" s="231">
        <f>G58</f>
        <v>10000</v>
      </c>
    </row>
    <row r="57" spans="1:7" ht="19.5" customHeight="1">
      <c r="A57" s="111"/>
      <c r="B57" s="111"/>
      <c r="C57" s="63">
        <v>4300</v>
      </c>
      <c r="D57" s="129" t="s">
        <v>262</v>
      </c>
      <c r="E57" s="75"/>
      <c r="F57" s="75">
        <v>10000</v>
      </c>
      <c r="G57" s="75"/>
    </row>
    <row r="58" spans="1:7" ht="19.5" customHeight="1">
      <c r="A58" s="111"/>
      <c r="B58" s="111"/>
      <c r="C58" s="63">
        <v>4590</v>
      </c>
      <c r="D58" s="129" t="s">
        <v>265</v>
      </c>
      <c r="E58" s="75"/>
      <c r="F58" s="75"/>
      <c r="G58" s="75">
        <v>10000</v>
      </c>
    </row>
    <row r="59" spans="1:7" ht="18" customHeight="1">
      <c r="A59" s="64"/>
      <c r="B59" s="71">
        <v>60016</v>
      </c>
      <c r="C59" s="71"/>
      <c r="D59" s="71" t="s">
        <v>293</v>
      </c>
      <c r="E59" s="74"/>
      <c r="F59" s="74">
        <f>F60</f>
        <v>10000</v>
      </c>
      <c r="G59" s="74">
        <f>G60</f>
        <v>10000</v>
      </c>
    </row>
    <row r="60" spans="1:7" ht="18" customHeight="1">
      <c r="A60" s="64"/>
      <c r="B60" s="64"/>
      <c r="C60" s="64"/>
      <c r="D60" s="126" t="s">
        <v>192</v>
      </c>
      <c r="E60" s="92"/>
      <c r="F60" s="92">
        <f>F61</f>
        <v>10000</v>
      </c>
      <c r="G60" s="92">
        <f>G62</f>
        <v>10000</v>
      </c>
    </row>
    <row r="61" spans="1:7" ht="18" customHeight="1">
      <c r="A61" s="111"/>
      <c r="B61" s="111"/>
      <c r="C61" s="63">
        <v>4300</v>
      </c>
      <c r="D61" s="129" t="s">
        <v>262</v>
      </c>
      <c r="E61" s="75"/>
      <c r="F61" s="75">
        <v>10000</v>
      </c>
      <c r="G61" s="75"/>
    </row>
    <row r="62" spans="1:7" ht="18" customHeight="1">
      <c r="A62" s="111"/>
      <c r="B62" s="111"/>
      <c r="C62" s="63">
        <v>4590</v>
      </c>
      <c r="D62" s="129" t="s">
        <v>265</v>
      </c>
      <c r="E62" s="516"/>
      <c r="F62" s="123"/>
      <c r="G62" s="123">
        <v>10000</v>
      </c>
    </row>
    <row r="63" spans="1:7" ht="19.5" customHeight="1">
      <c r="A63" s="67">
        <v>900</v>
      </c>
      <c r="B63" s="67"/>
      <c r="C63" s="72"/>
      <c r="D63" s="72" t="s">
        <v>217</v>
      </c>
      <c r="E63" s="210"/>
      <c r="F63" s="210">
        <f>F64+F70</f>
        <v>190000</v>
      </c>
      <c r="G63" s="210">
        <f>G64+G70</f>
        <v>190000</v>
      </c>
    </row>
    <row r="64" spans="1:7" ht="19.5" customHeight="1">
      <c r="A64" s="132"/>
      <c r="B64" s="71">
        <v>90001</v>
      </c>
      <c r="C64" s="71"/>
      <c r="D64" s="71" t="s">
        <v>218</v>
      </c>
      <c r="E64" s="473"/>
      <c r="F64" s="77">
        <f>F65+F68</f>
        <v>150000</v>
      </c>
      <c r="G64" s="77">
        <f>G65+G68</f>
        <v>150000</v>
      </c>
    </row>
    <row r="65" spans="1:7" ht="19.5" customHeight="1">
      <c r="A65" s="64"/>
      <c r="B65" s="64"/>
      <c r="C65" s="65"/>
      <c r="D65" s="40" t="s">
        <v>193</v>
      </c>
      <c r="E65" s="143"/>
      <c r="F65" s="76">
        <f>F67</f>
        <v>50000</v>
      </c>
      <c r="G65" s="76">
        <f>G66</f>
        <v>150000</v>
      </c>
    </row>
    <row r="66" spans="1:7" ht="19.5" customHeight="1">
      <c r="A66" s="64"/>
      <c r="B66" s="64"/>
      <c r="C66" s="63">
        <v>4270</v>
      </c>
      <c r="D66" s="63" t="s">
        <v>5</v>
      </c>
      <c r="E66" s="74"/>
      <c r="F66" s="75"/>
      <c r="G66" s="75">
        <v>150000</v>
      </c>
    </row>
    <row r="67" spans="1:7" ht="19.5" customHeight="1">
      <c r="A67" s="64"/>
      <c r="B67" s="64"/>
      <c r="C67" s="63">
        <v>4300</v>
      </c>
      <c r="D67" s="119" t="s">
        <v>262</v>
      </c>
      <c r="E67" s="245"/>
      <c r="F67" s="75">
        <v>50000</v>
      </c>
      <c r="G67" s="75"/>
    </row>
    <row r="68" spans="1:7" ht="19.5" customHeight="1">
      <c r="A68" s="64"/>
      <c r="B68" s="64"/>
      <c r="C68" s="65"/>
      <c r="D68" s="40" t="s">
        <v>194</v>
      </c>
      <c r="E68" s="123"/>
      <c r="F68" s="76">
        <f>F69</f>
        <v>100000</v>
      </c>
      <c r="G68" s="76"/>
    </row>
    <row r="69" spans="1:7" ht="19.5" customHeight="1">
      <c r="A69" s="64"/>
      <c r="B69" s="64"/>
      <c r="C69" s="63">
        <v>4520</v>
      </c>
      <c r="D69" s="63" t="s">
        <v>195</v>
      </c>
      <c r="E69" s="556"/>
      <c r="F69" s="75">
        <v>100000</v>
      </c>
      <c r="G69" s="75"/>
    </row>
    <row r="70" spans="1:7" ht="19.5" customHeight="1">
      <c r="A70" s="70"/>
      <c r="B70" s="71">
        <v>90015</v>
      </c>
      <c r="C70" s="62"/>
      <c r="D70" s="62" t="s">
        <v>236</v>
      </c>
      <c r="E70" s="77"/>
      <c r="F70" s="74">
        <f>F71</f>
        <v>40000</v>
      </c>
      <c r="G70" s="74">
        <f>G71+G74</f>
        <v>40000</v>
      </c>
    </row>
    <row r="71" spans="1:7" ht="19.5" customHeight="1">
      <c r="A71" s="64"/>
      <c r="B71" s="64"/>
      <c r="C71" s="64"/>
      <c r="D71" s="126" t="s">
        <v>196</v>
      </c>
      <c r="E71" s="123"/>
      <c r="F71" s="92">
        <f>F73</f>
        <v>40000</v>
      </c>
      <c r="G71" s="92">
        <f>G72</f>
        <v>34900</v>
      </c>
    </row>
    <row r="72" spans="1:7" ht="19.5" customHeight="1">
      <c r="A72" s="64"/>
      <c r="B72" s="64"/>
      <c r="C72" s="63">
        <v>4270</v>
      </c>
      <c r="D72" s="119" t="s">
        <v>6</v>
      </c>
      <c r="E72" s="90"/>
      <c r="F72" s="75"/>
      <c r="G72" s="75">
        <v>34900</v>
      </c>
    </row>
    <row r="73" spans="1:7" ht="19.5" customHeight="1">
      <c r="A73" s="64"/>
      <c r="B73" s="64"/>
      <c r="C73" s="63">
        <v>4300</v>
      </c>
      <c r="D73" s="119" t="s">
        <v>262</v>
      </c>
      <c r="E73" s="122"/>
      <c r="F73" s="75">
        <v>40000</v>
      </c>
      <c r="G73" s="75"/>
    </row>
    <row r="74" spans="1:7" ht="19.5" customHeight="1">
      <c r="A74" s="64"/>
      <c r="B74" s="64"/>
      <c r="C74" s="64"/>
      <c r="D74" s="126" t="s">
        <v>266</v>
      </c>
      <c r="E74" s="143"/>
      <c r="F74" s="92"/>
      <c r="G74" s="92">
        <f>G75</f>
        <v>5100</v>
      </c>
    </row>
    <row r="75" spans="1:7" ht="19.5" customHeight="1">
      <c r="A75" s="64"/>
      <c r="B75" s="111"/>
      <c r="C75" s="111"/>
      <c r="D75" s="491" t="s">
        <v>528</v>
      </c>
      <c r="E75" s="123"/>
      <c r="F75" s="494"/>
      <c r="G75" s="494">
        <f>G76</f>
        <v>5100</v>
      </c>
    </row>
    <row r="76" spans="1:7" ht="19.5" customHeight="1">
      <c r="A76" s="64"/>
      <c r="B76" s="162"/>
      <c r="C76" s="63">
        <v>6050</v>
      </c>
      <c r="D76" s="63" t="s">
        <v>263</v>
      </c>
      <c r="E76" s="134"/>
      <c r="F76" s="489"/>
      <c r="G76" s="489">
        <v>5100</v>
      </c>
    </row>
    <row r="77" spans="1:8" ht="19.5" customHeight="1">
      <c r="A77" s="64"/>
      <c r="B77" s="64"/>
      <c r="C77" s="61"/>
      <c r="D77" s="163" t="s">
        <v>371</v>
      </c>
      <c r="E77" s="168"/>
      <c r="F77" s="168">
        <f>F78</f>
        <v>59300</v>
      </c>
      <c r="G77" s="168">
        <f>G78</f>
        <v>277259</v>
      </c>
      <c r="H77" s="82">
        <f>G77-F77</f>
        <v>217959</v>
      </c>
    </row>
    <row r="78" spans="1:7" ht="19.5" customHeight="1" thickBot="1">
      <c r="A78" s="85"/>
      <c r="B78" s="85"/>
      <c r="C78" s="63"/>
      <c r="D78" s="459" t="s">
        <v>261</v>
      </c>
      <c r="E78" s="167"/>
      <c r="F78" s="460">
        <f>F79+F83</f>
        <v>59300</v>
      </c>
      <c r="G78" s="460">
        <f>G79+G83</f>
        <v>277259</v>
      </c>
    </row>
    <row r="79" spans="1:8" ht="19.5" customHeight="1" thickTop="1">
      <c r="A79" s="72">
        <v>801</v>
      </c>
      <c r="B79" s="72"/>
      <c r="C79" s="72"/>
      <c r="D79" s="72" t="s">
        <v>226</v>
      </c>
      <c r="E79" s="73"/>
      <c r="F79" s="73">
        <f>F80</f>
        <v>8000</v>
      </c>
      <c r="G79" s="73"/>
      <c r="H79" s="82">
        <f>G79-F79</f>
        <v>-8000</v>
      </c>
    </row>
    <row r="80" spans="1:7" ht="19.5" customHeight="1">
      <c r="A80" s="64"/>
      <c r="B80" s="71">
        <v>80130</v>
      </c>
      <c r="C80" s="71"/>
      <c r="D80" s="71" t="s">
        <v>298</v>
      </c>
      <c r="E80" s="74"/>
      <c r="F80" s="74">
        <f>F81</f>
        <v>8000</v>
      </c>
      <c r="G80" s="74"/>
    </row>
    <row r="81" spans="1:7" ht="19.5" customHeight="1">
      <c r="A81" s="64"/>
      <c r="B81" s="65"/>
      <c r="C81" s="64"/>
      <c r="D81" s="126" t="s">
        <v>276</v>
      </c>
      <c r="E81" s="92"/>
      <c r="F81" s="92">
        <f>F82</f>
        <v>8000</v>
      </c>
      <c r="G81" s="92"/>
    </row>
    <row r="82" spans="1:7" ht="19.5" customHeight="1">
      <c r="A82" s="85"/>
      <c r="B82" s="85"/>
      <c r="C82" s="63">
        <v>4270</v>
      </c>
      <c r="D82" s="63" t="s">
        <v>366</v>
      </c>
      <c r="E82" s="75"/>
      <c r="F82" s="75">
        <v>8000</v>
      </c>
      <c r="G82" s="75"/>
    </row>
    <row r="83" spans="1:8" ht="19.5" customHeight="1">
      <c r="A83" s="67">
        <v>854</v>
      </c>
      <c r="B83" s="67"/>
      <c r="C83" s="72"/>
      <c r="D83" s="72" t="s">
        <v>238</v>
      </c>
      <c r="E83" s="73"/>
      <c r="F83" s="73">
        <f>F84+F92</f>
        <v>51300</v>
      </c>
      <c r="G83" s="73">
        <f>G92</f>
        <v>277259</v>
      </c>
      <c r="H83" s="82">
        <f>G83-F83</f>
        <v>225959</v>
      </c>
    </row>
    <row r="84" spans="1:7" ht="18.75" customHeight="1">
      <c r="A84" s="275"/>
      <c r="B84" s="71">
        <v>85403</v>
      </c>
      <c r="C84" s="71"/>
      <c r="D84" s="71" t="s">
        <v>168</v>
      </c>
      <c r="E84" s="74"/>
      <c r="F84" s="74">
        <f>F85+F89</f>
        <v>50000</v>
      </c>
      <c r="G84" s="74"/>
    </row>
    <row r="85" spans="1:7" ht="18.75" customHeight="1">
      <c r="A85" s="64"/>
      <c r="B85" s="64"/>
      <c r="C85" s="61"/>
      <c r="D85" s="126" t="s">
        <v>276</v>
      </c>
      <c r="E85" s="92"/>
      <c r="F85" s="92">
        <f>SUM(F86:F88)</f>
        <v>18000</v>
      </c>
      <c r="G85" s="92"/>
    </row>
    <row r="86" spans="1:7" ht="18.75" customHeight="1">
      <c r="A86" s="64"/>
      <c r="B86" s="64"/>
      <c r="C86" s="63">
        <v>3020</v>
      </c>
      <c r="D86" s="63" t="s">
        <v>277</v>
      </c>
      <c r="E86" s="75"/>
      <c r="F86" s="75">
        <v>4000</v>
      </c>
      <c r="G86" s="75"/>
    </row>
    <row r="87" spans="1:7" ht="18.75" customHeight="1">
      <c r="A87" s="64"/>
      <c r="B87" s="64"/>
      <c r="C87" s="63">
        <v>4260</v>
      </c>
      <c r="D87" s="63" t="s">
        <v>264</v>
      </c>
      <c r="E87" s="75"/>
      <c r="F87" s="75">
        <v>10000</v>
      </c>
      <c r="G87" s="75"/>
    </row>
    <row r="88" spans="1:7" ht="18.75" customHeight="1">
      <c r="A88" s="64"/>
      <c r="B88" s="64"/>
      <c r="C88" s="63">
        <v>4440</v>
      </c>
      <c r="D88" s="63" t="s">
        <v>279</v>
      </c>
      <c r="E88" s="75"/>
      <c r="F88" s="75">
        <v>4000</v>
      </c>
      <c r="G88" s="75"/>
    </row>
    <row r="89" spans="1:7" ht="18.75" customHeight="1">
      <c r="A89" s="64"/>
      <c r="B89" s="64"/>
      <c r="C89" s="61"/>
      <c r="D89" s="126" t="s">
        <v>280</v>
      </c>
      <c r="E89" s="92"/>
      <c r="F89" s="92">
        <f>SUM(F90:F91)</f>
        <v>32000</v>
      </c>
      <c r="G89" s="92"/>
    </row>
    <row r="90" spans="1:7" ht="18.75" customHeight="1">
      <c r="A90" s="64"/>
      <c r="B90" s="64"/>
      <c r="C90" s="63">
        <v>4110</v>
      </c>
      <c r="D90" s="63" t="s">
        <v>268</v>
      </c>
      <c r="E90" s="75"/>
      <c r="F90" s="75">
        <v>30000</v>
      </c>
      <c r="G90" s="75"/>
    </row>
    <row r="91" spans="1:7" ht="18.75" customHeight="1">
      <c r="A91" s="64"/>
      <c r="B91" s="64"/>
      <c r="C91" s="63">
        <v>4120</v>
      </c>
      <c r="D91" s="63" t="s">
        <v>269</v>
      </c>
      <c r="E91" s="75"/>
      <c r="F91" s="75">
        <v>2000</v>
      </c>
      <c r="G91" s="75"/>
    </row>
    <row r="92" spans="1:7" ht="18.75" customHeight="1">
      <c r="A92" s="64"/>
      <c r="B92" s="71">
        <v>85415</v>
      </c>
      <c r="C92" s="62"/>
      <c r="D92" s="62" t="s">
        <v>253</v>
      </c>
      <c r="E92" s="74"/>
      <c r="F92" s="74">
        <f>F93</f>
        <v>1300</v>
      </c>
      <c r="G92" s="74">
        <f>G95</f>
        <v>277259</v>
      </c>
    </row>
    <row r="93" spans="1:7" ht="18.75" customHeight="1">
      <c r="A93" s="64"/>
      <c r="B93" s="64"/>
      <c r="C93" s="61"/>
      <c r="D93" s="126" t="s">
        <v>214</v>
      </c>
      <c r="E93" s="92"/>
      <c r="F93" s="92">
        <f>F94</f>
        <v>1300</v>
      </c>
      <c r="G93" s="92"/>
    </row>
    <row r="94" spans="1:7" ht="18.75" customHeight="1">
      <c r="A94" s="64"/>
      <c r="B94" s="64"/>
      <c r="C94" s="63">
        <v>3240</v>
      </c>
      <c r="D94" s="63" t="s">
        <v>215</v>
      </c>
      <c r="E94" s="75"/>
      <c r="F94" s="75">
        <v>1300</v>
      </c>
      <c r="G94" s="75"/>
    </row>
    <row r="95" spans="1:7" ht="18.75" customHeight="1">
      <c r="A95" s="64"/>
      <c r="B95" s="64"/>
      <c r="C95" s="61"/>
      <c r="D95" s="126" t="s">
        <v>216</v>
      </c>
      <c r="E95" s="92"/>
      <c r="F95" s="92"/>
      <c r="G95" s="92">
        <f>G96</f>
        <v>277259</v>
      </c>
    </row>
    <row r="96" spans="1:7" ht="18.75" customHeight="1">
      <c r="A96" s="64"/>
      <c r="B96" s="64"/>
      <c r="C96" s="63">
        <v>3240</v>
      </c>
      <c r="D96" s="63" t="s">
        <v>215</v>
      </c>
      <c r="E96" s="75"/>
      <c r="F96" s="75"/>
      <c r="G96" s="75">
        <v>277259</v>
      </c>
    </row>
    <row r="97" spans="1:8" ht="20.25" customHeight="1">
      <c r="A97" s="162"/>
      <c r="B97" s="162"/>
      <c r="C97" s="162"/>
      <c r="D97" s="164" t="s">
        <v>372</v>
      </c>
      <c r="E97" s="164"/>
      <c r="F97" s="168">
        <f>F98</f>
        <v>2279897</v>
      </c>
      <c r="G97" s="168">
        <f>G98</f>
        <v>1709530</v>
      </c>
      <c r="H97" s="82">
        <f>G97-F97</f>
        <v>-570367</v>
      </c>
    </row>
    <row r="98" spans="1:7" ht="19.5" customHeight="1" thickBot="1">
      <c r="A98" s="166"/>
      <c r="B98" s="166"/>
      <c r="C98" s="166"/>
      <c r="D98" s="459" t="s">
        <v>261</v>
      </c>
      <c r="E98" s="461"/>
      <c r="F98" s="460">
        <f>F99+F115+F343</f>
        <v>2279897</v>
      </c>
      <c r="G98" s="460">
        <f>G99+G115+G338+G343</f>
        <v>1709530</v>
      </c>
    </row>
    <row r="99" spans="1:7" ht="19.5" customHeight="1" thickTop="1">
      <c r="A99" s="72">
        <v>700</v>
      </c>
      <c r="B99" s="72"/>
      <c r="C99" s="72"/>
      <c r="D99" s="72" t="s">
        <v>308</v>
      </c>
      <c r="E99" s="72"/>
      <c r="F99" s="73">
        <f>F111+F100</f>
        <v>200891</v>
      </c>
      <c r="G99" s="73">
        <f>G111+G100</f>
        <v>200891</v>
      </c>
    </row>
    <row r="100" spans="1:7" ht="19.5" customHeight="1">
      <c r="A100" s="683"/>
      <c r="B100" s="684">
        <v>70001</v>
      </c>
      <c r="C100" s="684"/>
      <c r="D100" s="71" t="s">
        <v>521</v>
      </c>
      <c r="E100" s="684"/>
      <c r="F100" s="687">
        <f>F101</f>
        <v>200000</v>
      </c>
      <c r="G100" s="687">
        <f>G101</f>
        <v>200000</v>
      </c>
    </row>
    <row r="101" spans="1:7" ht="19.5" customHeight="1">
      <c r="A101" s="685"/>
      <c r="B101" s="686"/>
      <c r="C101" s="686"/>
      <c r="D101" s="40" t="s">
        <v>522</v>
      </c>
      <c r="E101" s="40"/>
      <c r="F101" s="41">
        <f>F102+F106</f>
        <v>200000</v>
      </c>
      <c r="G101" s="41">
        <f>G102+G106</f>
        <v>200000</v>
      </c>
    </row>
    <row r="102" spans="1:7" ht="19.5" customHeight="1">
      <c r="A102" s="685"/>
      <c r="B102" s="683"/>
      <c r="C102" s="683"/>
      <c r="D102" s="679" t="s">
        <v>523</v>
      </c>
      <c r="E102" s="679"/>
      <c r="F102" s="695">
        <f>F103</f>
        <v>100000</v>
      </c>
      <c r="G102" s="695">
        <f>G103</f>
        <v>100000</v>
      </c>
    </row>
    <row r="103" spans="1:7" ht="19.5" customHeight="1">
      <c r="A103" s="685"/>
      <c r="B103" s="683"/>
      <c r="C103" s="683"/>
      <c r="D103" s="680" t="s">
        <v>524</v>
      </c>
      <c r="E103" s="680"/>
      <c r="F103" s="694">
        <f>F104</f>
        <v>100000</v>
      </c>
      <c r="G103" s="694">
        <f>G105</f>
        <v>100000</v>
      </c>
    </row>
    <row r="104" spans="1:7" ht="19.5" customHeight="1">
      <c r="A104" s="685"/>
      <c r="B104" s="683"/>
      <c r="C104" s="683"/>
      <c r="D104" s="499" t="s">
        <v>525</v>
      </c>
      <c r="E104" s="499"/>
      <c r="F104" s="230">
        <v>100000</v>
      </c>
      <c r="G104" s="230"/>
    </row>
    <row r="105" spans="1:7" ht="19.5" customHeight="1">
      <c r="A105" s="685"/>
      <c r="B105" s="683"/>
      <c r="C105" s="683"/>
      <c r="D105" s="499" t="s">
        <v>526</v>
      </c>
      <c r="E105" s="499"/>
      <c r="F105" s="230"/>
      <c r="G105" s="230">
        <v>100000</v>
      </c>
    </row>
    <row r="106" spans="1:7" ht="19.5" customHeight="1">
      <c r="A106" s="685"/>
      <c r="B106" s="683"/>
      <c r="C106" s="683"/>
      <c r="D106" s="681" t="s">
        <v>41</v>
      </c>
      <c r="E106" s="681"/>
      <c r="F106" s="696">
        <f>F107</f>
        <v>100000</v>
      </c>
      <c r="G106" s="696">
        <f>G107</f>
        <v>100000</v>
      </c>
    </row>
    <row r="107" spans="1:7" ht="19.5" customHeight="1">
      <c r="A107" s="685"/>
      <c r="B107" s="683"/>
      <c r="C107" s="683"/>
      <c r="D107" s="680" t="s">
        <v>524</v>
      </c>
      <c r="E107" s="680"/>
      <c r="F107" s="694">
        <f>F108</f>
        <v>100000</v>
      </c>
      <c r="G107" s="694">
        <f>G109</f>
        <v>100000</v>
      </c>
    </row>
    <row r="108" spans="1:7" ht="19.5" customHeight="1">
      <c r="A108" s="685"/>
      <c r="B108" s="683"/>
      <c r="C108" s="683"/>
      <c r="D108" s="137" t="s">
        <v>525</v>
      </c>
      <c r="E108" s="137"/>
      <c r="F108" s="584">
        <v>100000</v>
      </c>
      <c r="G108" s="584"/>
    </row>
    <row r="109" spans="1:7" ht="19.5" customHeight="1">
      <c r="A109" s="685"/>
      <c r="B109" s="683"/>
      <c r="C109" s="683"/>
      <c r="D109" s="499" t="s">
        <v>526</v>
      </c>
      <c r="E109" s="499"/>
      <c r="F109" s="230"/>
      <c r="G109" s="230">
        <v>100000</v>
      </c>
    </row>
    <row r="110" spans="1:7" ht="21" customHeight="1">
      <c r="A110" s="685"/>
      <c r="B110" s="684"/>
      <c r="C110" s="688">
        <v>2650</v>
      </c>
      <c r="D110" s="119" t="s">
        <v>42</v>
      </c>
      <c r="E110" s="119"/>
      <c r="F110" s="59">
        <f>F101</f>
        <v>200000</v>
      </c>
      <c r="G110" s="59">
        <f>G101</f>
        <v>200000</v>
      </c>
    </row>
    <row r="111" spans="1:7" ht="21" customHeight="1">
      <c r="A111" s="166"/>
      <c r="B111" s="71">
        <v>70004</v>
      </c>
      <c r="C111" s="206"/>
      <c r="D111" s="42" t="s">
        <v>110</v>
      </c>
      <c r="E111" s="75"/>
      <c r="F111" s="74">
        <f>F112</f>
        <v>891</v>
      </c>
      <c r="G111" s="74">
        <f>G112</f>
        <v>891</v>
      </c>
    </row>
    <row r="112" spans="1:7" ht="41.25" customHeight="1">
      <c r="A112" s="162"/>
      <c r="B112" s="64"/>
      <c r="C112" s="64"/>
      <c r="D112" s="499" t="s">
        <v>111</v>
      </c>
      <c r="E112" s="499"/>
      <c r="F112" s="92">
        <f>F113</f>
        <v>891</v>
      </c>
      <c r="G112" s="230">
        <f>G114</f>
        <v>891</v>
      </c>
    </row>
    <row r="113" spans="1:7" ht="19.5" customHeight="1">
      <c r="A113" s="162"/>
      <c r="B113" s="64"/>
      <c r="C113" s="119">
        <v>4300</v>
      </c>
      <c r="D113" s="474" t="s">
        <v>262</v>
      </c>
      <c r="E113" s="474"/>
      <c r="F113" s="90">
        <v>891</v>
      </c>
      <c r="G113" s="585"/>
    </row>
    <row r="114" spans="1:7" ht="17.25" customHeight="1">
      <c r="A114" s="162"/>
      <c r="B114" s="64"/>
      <c r="C114" s="119">
        <v>4590</v>
      </c>
      <c r="D114" s="119" t="s">
        <v>265</v>
      </c>
      <c r="E114" s="119"/>
      <c r="F114" s="75"/>
      <c r="G114" s="59">
        <v>891</v>
      </c>
    </row>
    <row r="115" spans="1:7" ht="18" customHeight="1">
      <c r="A115" s="67">
        <v>851</v>
      </c>
      <c r="B115" s="67"/>
      <c r="C115" s="72"/>
      <c r="D115" s="72" t="s">
        <v>228</v>
      </c>
      <c r="E115" s="72"/>
      <c r="F115" s="73">
        <f>F116+F146+F238</f>
        <v>2054006</v>
      </c>
      <c r="G115" s="73">
        <f>G116+G146+G238</f>
        <v>1056150</v>
      </c>
    </row>
    <row r="116" spans="1:7" ht="17.25" customHeight="1">
      <c r="A116" s="162"/>
      <c r="B116" s="71">
        <v>85153</v>
      </c>
      <c r="C116" s="206"/>
      <c r="D116" s="42" t="s">
        <v>401</v>
      </c>
      <c r="E116" s="75"/>
      <c r="F116" s="74">
        <f>F117</f>
        <v>77000</v>
      </c>
      <c r="G116" s="74">
        <f>G117</f>
        <v>51000</v>
      </c>
    </row>
    <row r="117" spans="1:7" ht="26.25" customHeight="1">
      <c r="A117" s="162"/>
      <c r="B117" s="64"/>
      <c r="C117" s="64"/>
      <c r="D117" s="135" t="s">
        <v>403</v>
      </c>
      <c r="E117" s="135"/>
      <c r="F117" s="136">
        <f>F118+F124+F139+F144</f>
        <v>77000</v>
      </c>
      <c r="G117" s="136">
        <f>G118+G124+G139</f>
        <v>51000</v>
      </c>
    </row>
    <row r="118" spans="1:7" ht="18" customHeight="1">
      <c r="A118" s="162"/>
      <c r="B118" s="64"/>
      <c r="C118" s="64"/>
      <c r="D118" s="137" t="s">
        <v>404</v>
      </c>
      <c r="E118" s="137"/>
      <c r="F118" s="138">
        <f>F119</f>
        <v>10000</v>
      </c>
      <c r="G118" s="584">
        <f>SUM(G121:G123)</f>
        <v>12000</v>
      </c>
    </row>
    <row r="119" spans="1:7" ht="29.25" customHeight="1">
      <c r="A119" s="162"/>
      <c r="B119" s="64"/>
      <c r="C119" s="119">
        <v>2820</v>
      </c>
      <c r="D119" s="474" t="s">
        <v>387</v>
      </c>
      <c r="E119" s="474"/>
      <c r="F119" s="90">
        <v>10000</v>
      </c>
      <c r="G119" s="585">
        <v>10000</v>
      </c>
    </row>
    <row r="120" spans="1:7" ht="18.75" customHeight="1">
      <c r="A120" s="162"/>
      <c r="B120" s="64"/>
      <c r="C120" s="128"/>
      <c r="D120" s="140" t="s">
        <v>12</v>
      </c>
      <c r="E120" s="140"/>
      <c r="F120" s="591">
        <v>10000</v>
      </c>
      <c r="G120" s="589"/>
    </row>
    <row r="121" spans="1:7" ht="27" customHeight="1">
      <c r="A121" s="162"/>
      <c r="B121" s="64"/>
      <c r="C121" s="128"/>
      <c r="D121" s="498" t="s">
        <v>405</v>
      </c>
      <c r="E121" s="498"/>
      <c r="F121" s="492"/>
      <c r="G121" s="493">
        <v>5000</v>
      </c>
    </row>
    <row r="122" spans="1:7" ht="21" customHeight="1">
      <c r="A122" s="162"/>
      <c r="B122" s="64"/>
      <c r="C122" s="128"/>
      <c r="D122" s="599" t="s">
        <v>406</v>
      </c>
      <c r="E122" s="599"/>
      <c r="F122" s="133"/>
      <c r="G122" s="607">
        <v>5000</v>
      </c>
    </row>
    <row r="123" spans="1:7" ht="19.5" customHeight="1">
      <c r="A123" s="162"/>
      <c r="B123" s="64"/>
      <c r="C123" s="119">
        <v>4300</v>
      </c>
      <c r="D123" s="119" t="s">
        <v>262</v>
      </c>
      <c r="E123" s="119"/>
      <c r="F123" s="75"/>
      <c r="G123" s="59">
        <v>2000</v>
      </c>
    </row>
    <row r="124" spans="1:7" ht="19.5" customHeight="1">
      <c r="A124" s="162"/>
      <c r="B124" s="64"/>
      <c r="C124" s="64"/>
      <c r="D124" s="499" t="s">
        <v>407</v>
      </c>
      <c r="E124" s="499"/>
      <c r="F124" s="92">
        <f>F125+F135</f>
        <v>24000</v>
      </c>
      <c r="G124" s="230">
        <f>SUM(G127:G138)-G137</f>
        <v>27000</v>
      </c>
    </row>
    <row r="125" spans="1:7" ht="27.75" customHeight="1">
      <c r="A125" s="162"/>
      <c r="B125" s="64"/>
      <c r="C125" s="119">
        <v>2820</v>
      </c>
      <c r="D125" s="474" t="s">
        <v>387</v>
      </c>
      <c r="E125" s="474"/>
      <c r="F125" s="90">
        <v>23100</v>
      </c>
      <c r="G125" s="585">
        <v>23100</v>
      </c>
    </row>
    <row r="126" spans="1:7" ht="18.75" customHeight="1">
      <c r="A126" s="162"/>
      <c r="B126" s="64"/>
      <c r="C126" s="128"/>
      <c r="D126" s="140" t="s">
        <v>12</v>
      </c>
      <c r="E126" s="140"/>
      <c r="F126" s="591">
        <v>23100</v>
      </c>
      <c r="G126" s="589"/>
    </row>
    <row r="127" spans="1:7" ht="22.5" customHeight="1">
      <c r="A127" s="162"/>
      <c r="B127" s="64"/>
      <c r="C127" s="128"/>
      <c r="D127" s="128" t="s">
        <v>408</v>
      </c>
      <c r="E127" s="128"/>
      <c r="F127" s="123"/>
      <c r="G127" s="509">
        <v>4000</v>
      </c>
    </row>
    <row r="128" spans="1:7" ht="27" customHeight="1">
      <c r="A128" s="162"/>
      <c r="B128" s="64"/>
      <c r="C128" s="128"/>
      <c r="D128" s="498" t="s">
        <v>409</v>
      </c>
      <c r="E128" s="498"/>
      <c r="F128" s="492"/>
      <c r="G128" s="493">
        <v>4500</v>
      </c>
    </row>
    <row r="129" spans="1:7" ht="27" customHeight="1">
      <c r="A129" s="162"/>
      <c r="B129" s="64"/>
      <c r="C129" s="128"/>
      <c r="D129" s="498" t="s">
        <v>410</v>
      </c>
      <c r="E129" s="498"/>
      <c r="F129" s="492"/>
      <c r="G129" s="493">
        <v>1000</v>
      </c>
    </row>
    <row r="130" spans="1:7" ht="27" customHeight="1">
      <c r="A130" s="162"/>
      <c r="B130" s="64"/>
      <c r="C130" s="128"/>
      <c r="D130" s="498" t="s">
        <v>411</v>
      </c>
      <c r="E130" s="498"/>
      <c r="F130" s="492"/>
      <c r="G130" s="493">
        <v>2000</v>
      </c>
    </row>
    <row r="131" spans="1:7" ht="19.5" customHeight="1">
      <c r="A131" s="162"/>
      <c r="B131" s="64"/>
      <c r="C131" s="128"/>
      <c r="D131" s="498" t="s">
        <v>412</v>
      </c>
      <c r="E131" s="498"/>
      <c r="F131" s="492"/>
      <c r="G131" s="493">
        <v>2600</v>
      </c>
    </row>
    <row r="132" spans="1:7" ht="29.25" customHeight="1">
      <c r="A132" s="162"/>
      <c r="B132" s="64"/>
      <c r="C132" s="128"/>
      <c r="D132" s="128" t="s">
        <v>13</v>
      </c>
      <c r="E132" s="498"/>
      <c r="F132" s="492"/>
      <c r="G132" s="493">
        <v>5000</v>
      </c>
    </row>
    <row r="133" spans="1:7" ht="28.5" customHeight="1">
      <c r="A133" s="162"/>
      <c r="B133" s="64"/>
      <c r="C133" s="128"/>
      <c r="D133" s="498" t="s">
        <v>130</v>
      </c>
      <c r="E133" s="498"/>
      <c r="F133" s="583"/>
      <c r="G133" s="493">
        <v>2000</v>
      </c>
    </row>
    <row r="134" spans="1:7" ht="27" customHeight="1">
      <c r="A134" s="166"/>
      <c r="B134" s="85"/>
      <c r="C134" s="119"/>
      <c r="D134" s="595" t="s">
        <v>413</v>
      </c>
      <c r="E134" s="595"/>
      <c r="F134" s="596"/>
      <c r="G134" s="608">
        <v>2000</v>
      </c>
    </row>
    <row r="135" spans="1:7" ht="39.75" customHeight="1">
      <c r="A135" s="162"/>
      <c r="B135" s="64"/>
      <c r="C135" s="119">
        <v>2830</v>
      </c>
      <c r="D135" s="119" t="s">
        <v>414</v>
      </c>
      <c r="E135" s="119"/>
      <c r="F135" s="75">
        <v>900</v>
      </c>
      <c r="G135" s="59">
        <v>900</v>
      </c>
    </row>
    <row r="136" spans="1:7" ht="21" customHeight="1">
      <c r="A136" s="162"/>
      <c r="B136" s="64"/>
      <c r="C136" s="590"/>
      <c r="D136" s="140" t="s">
        <v>12</v>
      </c>
      <c r="E136" s="140"/>
      <c r="F136" s="591">
        <v>900</v>
      </c>
      <c r="G136" s="589"/>
    </row>
    <row r="137" spans="1:7" ht="20.25" customHeight="1">
      <c r="A137" s="162"/>
      <c r="B137" s="64"/>
      <c r="C137" s="128"/>
      <c r="D137" s="599" t="s">
        <v>14</v>
      </c>
      <c r="E137" s="599"/>
      <c r="F137" s="133"/>
      <c r="G137" s="607">
        <v>900</v>
      </c>
    </row>
    <row r="138" spans="1:7" ht="20.25" customHeight="1">
      <c r="A138" s="162"/>
      <c r="B138" s="64"/>
      <c r="C138" s="119">
        <v>4300</v>
      </c>
      <c r="D138" s="119" t="s">
        <v>262</v>
      </c>
      <c r="E138" s="119"/>
      <c r="F138" s="75"/>
      <c r="G138" s="59">
        <v>3000</v>
      </c>
    </row>
    <row r="139" spans="1:7" ht="27" customHeight="1">
      <c r="A139" s="162"/>
      <c r="B139" s="64"/>
      <c r="C139" s="64"/>
      <c r="D139" s="499" t="s">
        <v>15</v>
      </c>
      <c r="E139" s="499"/>
      <c r="F139" s="92">
        <f>F140</f>
        <v>8000</v>
      </c>
      <c r="G139" s="230">
        <f>G142+G143</f>
        <v>12000</v>
      </c>
    </row>
    <row r="140" spans="1:7" ht="29.25" customHeight="1">
      <c r="A140" s="162"/>
      <c r="B140" s="64"/>
      <c r="C140" s="119">
        <v>2820</v>
      </c>
      <c r="D140" s="474" t="s">
        <v>387</v>
      </c>
      <c r="E140" s="474"/>
      <c r="F140" s="90">
        <v>8000</v>
      </c>
      <c r="G140" s="585">
        <v>8000</v>
      </c>
    </row>
    <row r="141" spans="1:7" ht="21" customHeight="1">
      <c r="A141" s="162"/>
      <c r="B141" s="64"/>
      <c r="C141" s="590"/>
      <c r="D141" s="140" t="s">
        <v>12</v>
      </c>
      <c r="E141" s="140"/>
      <c r="F141" s="591">
        <v>8000</v>
      </c>
      <c r="G141" s="589"/>
    </row>
    <row r="142" spans="1:7" ht="28.5" customHeight="1">
      <c r="A142" s="162"/>
      <c r="B142" s="64"/>
      <c r="C142" s="128"/>
      <c r="D142" s="599" t="s">
        <v>416</v>
      </c>
      <c r="E142" s="599"/>
      <c r="F142" s="133"/>
      <c r="G142" s="607">
        <v>8000</v>
      </c>
    </row>
    <row r="143" spans="1:7" ht="19.5" customHeight="1">
      <c r="A143" s="162"/>
      <c r="B143" s="64"/>
      <c r="C143" s="119">
        <v>4300</v>
      </c>
      <c r="D143" s="119" t="s">
        <v>262</v>
      </c>
      <c r="E143" s="119"/>
      <c r="F143" s="75"/>
      <c r="G143" s="59">
        <v>4000</v>
      </c>
    </row>
    <row r="144" spans="1:7" ht="28.5" customHeight="1">
      <c r="A144" s="162"/>
      <c r="B144" s="64"/>
      <c r="C144" s="64"/>
      <c r="D144" s="499" t="s">
        <v>117</v>
      </c>
      <c r="E144" s="499"/>
      <c r="F144" s="92">
        <f>F145</f>
        <v>35000</v>
      </c>
      <c r="G144" s="230"/>
    </row>
    <row r="145" spans="1:7" ht="20.25" customHeight="1">
      <c r="A145" s="162"/>
      <c r="B145" s="85"/>
      <c r="C145" s="119">
        <v>4300</v>
      </c>
      <c r="D145" s="474" t="s">
        <v>262</v>
      </c>
      <c r="E145" s="474"/>
      <c r="F145" s="90">
        <v>35000</v>
      </c>
      <c r="G145" s="585"/>
    </row>
    <row r="146" spans="1:8" ht="19.5" customHeight="1">
      <c r="A146" s="162"/>
      <c r="B146" s="62">
        <v>85154</v>
      </c>
      <c r="C146" s="62"/>
      <c r="D146" s="62" t="s">
        <v>246</v>
      </c>
      <c r="E146" s="74"/>
      <c r="F146" s="74">
        <f>F147</f>
        <v>1648206</v>
      </c>
      <c r="G146" s="74">
        <f>G147</f>
        <v>790150</v>
      </c>
      <c r="H146" s="82">
        <f>G146-F146</f>
        <v>-858056</v>
      </c>
    </row>
    <row r="147" spans="1:7" ht="26.25" customHeight="1">
      <c r="A147" s="162"/>
      <c r="B147" s="162"/>
      <c r="C147" s="162"/>
      <c r="D147" s="500" t="s">
        <v>118</v>
      </c>
      <c r="E147" s="515"/>
      <c r="F147" s="501">
        <f>F148+F154+F181+F226</f>
        <v>1648206</v>
      </c>
      <c r="G147" s="501">
        <f>G148+G154+G181+G226</f>
        <v>790150</v>
      </c>
    </row>
    <row r="148" spans="1:7" ht="26.25" customHeight="1">
      <c r="A148" s="162"/>
      <c r="B148" s="162"/>
      <c r="C148" s="64"/>
      <c r="D148" s="499" t="s">
        <v>16</v>
      </c>
      <c r="E148" s="92"/>
      <c r="F148" s="92">
        <f>F149+F153</f>
        <v>69000</v>
      </c>
      <c r="G148" s="92">
        <f>G151+G152</f>
        <v>43000</v>
      </c>
    </row>
    <row r="149" spans="1:7" ht="26.25" customHeight="1">
      <c r="A149" s="162"/>
      <c r="B149" s="162"/>
      <c r="C149" s="127">
        <v>2820</v>
      </c>
      <c r="D149" s="119" t="s">
        <v>387</v>
      </c>
      <c r="E149" s="592"/>
      <c r="F149" s="134">
        <v>43000</v>
      </c>
      <c r="G149" s="134">
        <v>43000</v>
      </c>
    </row>
    <row r="150" spans="1:7" ht="20.25" customHeight="1">
      <c r="A150" s="162"/>
      <c r="B150" s="162"/>
      <c r="C150" s="593"/>
      <c r="D150" s="140" t="s">
        <v>12</v>
      </c>
      <c r="E150" s="567"/>
      <c r="F150" s="591">
        <v>43000</v>
      </c>
      <c r="G150" s="591"/>
    </row>
    <row r="151" spans="1:7" ht="39.75" customHeight="1">
      <c r="A151" s="162"/>
      <c r="B151" s="162"/>
      <c r="C151" s="593"/>
      <c r="D151" s="647" t="s">
        <v>419</v>
      </c>
      <c r="E151" s="123"/>
      <c r="F151" s="123"/>
      <c r="G151" s="123">
        <v>37000</v>
      </c>
    </row>
    <row r="152" spans="1:7" ht="26.25" customHeight="1">
      <c r="A152" s="162"/>
      <c r="B152" s="162"/>
      <c r="C152" s="593"/>
      <c r="D152" s="498" t="s">
        <v>396</v>
      </c>
      <c r="E152" s="583"/>
      <c r="F152" s="583"/>
      <c r="G152" s="583">
        <v>6000</v>
      </c>
    </row>
    <row r="153" spans="1:7" ht="20.25" customHeight="1">
      <c r="A153" s="162"/>
      <c r="B153" s="162"/>
      <c r="C153" s="127">
        <v>4300</v>
      </c>
      <c r="D153" s="119" t="s">
        <v>262</v>
      </c>
      <c r="E153" s="592"/>
      <c r="F153" s="134">
        <v>26000</v>
      </c>
      <c r="G153" s="134"/>
    </row>
    <row r="154" spans="1:7" ht="39.75" customHeight="1">
      <c r="A154" s="162"/>
      <c r="B154" s="162"/>
      <c r="C154" s="64"/>
      <c r="D154" s="499" t="s">
        <v>420</v>
      </c>
      <c r="E154" s="92"/>
      <c r="F154" s="92">
        <f>F155+F158+F177+F180</f>
        <v>510300</v>
      </c>
      <c r="G154" s="92">
        <f>G157+G160+G161+G162+G163+G164+G165+G166+G167+G168+G169+G170+G171+G172+G175+G17+G173+G174+G176+G179</f>
        <v>278000</v>
      </c>
    </row>
    <row r="155" spans="1:7" ht="26.25" customHeight="1">
      <c r="A155" s="166"/>
      <c r="B155" s="166"/>
      <c r="C155" s="127">
        <v>2810</v>
      </c>
      <c r="D155" s="119" t="s">
        <v>389</v>
      </c>
      <c r="E155" s="75"/>
      <c r="F155" s="75">
        <v>20400</v>
      </c>
      <c r="G155" s="75">
        <v>20400</v>
      </c>
    </row>
    <row r="156" spans="1:7" ht="20.25" customHeight="1">
      <c r="A156" s="162"/>
      <c r="B156" s="162"/>
      <c r="C156" s="593"/>
      <c r="D156" s="599" t="s">
        <v>12</v>
      </c>
      <c r="E156" s="748"/>
      <c r="F156" s="133">
        <v>20400</v>
      </c>
      <c r="G156" s="133"/>
    </row>
    <row r="157" spans="1:7" ht="26.25" customHeight="1">
      <c r="A157" s="162"/>
      <c r="B157" s="162"/>
      <c r="C157" s="593"/>
      <c r="D157" s="743" t="s">
        <v>421</v>
      </c>
      <c r="E157" s="133"/>
      <c r="F157" s="133"/>
      <c r="G157" s="133">
        <v>20400</v>
      </c>
    </row>
    <row r="158" spans="1:7" ht="26.25" customHeight="1">
      <c r="A158" s="162"/>
      <c r="B158" s="162"/>
      <c r="C158" s="127">
        <v>2820</v>
      </c>
      <c r="D158" s="128" t="s">
        <v>387</v>
      </c>
      <c r="E158" s="123"/>
      <c r="F158" s="123">
        <v>251000</v>
      </c>
      <c r="G158" s="123">
        <v>251000</v>
      </c>
    </row>
    <row r="159" spans="1:7" ht="20.25" customHeight="1">
      <c r="A159" s="162"/>
      <c r="B159" s="162"/>
      <c r="C159" s="593"/>
      <c r="D159" s="140" t="s">
        <v>12</v>
      </c>
      <c r="E159" s="591"/>
      <c r="F159" s="591">
        <v>251000</v>
      </c>
      <c r="G159" s="591"/>
    </row>
    <row r="160" spans="1:7" ht="20.25" customHeight="1">
      <c r="A160" s="162"/>
      <c r="B160" s="162"/>
      <c r="C160" s="593"/>
      <c r="D160" s="599" t="s">
        <v>422</v>
      </c>
      <c r="E160" s="594"/>
      <c r="F160" s="594"/>
      <c r="G160" s="594">
        <v>13000</v>
      </c>
    </row>
    <row r="161" spans="1:7" ht="26.25" customHeight="1">
      <c r="A161" s="162"/>
      <c r="B161" s="162"/>
      <c r="C161" s="593"/>
      <c r="D161" s="498" t="s">
        <v>423</v>
      </c>
      <c r="E161" s="583"/>
      <c r="F161" s="583"/>
      <c r="G161" s="583">
        <v>6000</v>
      </c>
    </row>
    <row r="162" spans="1:7" ht="39.75" customHeight="1">
      <c r="A162" s="162"/>
      <c r="B162" s="162"/>
      <c r="C162" s="593"/>
      <c r="D162" s="498" t="s">
        <v>419</v>
      </c>
      <c r="E162" s="583"/>
      <c r="F162" s="583"/>
      <c r="G162" s="583">
        <v>22000</v>
      </c>
    </row>
    <row r="163" spans="1:7" ht="26.25" customHeight="1">
      <c r="A163" s="162"/>
      <c r="B163" s="162"/>
      <c r="C163" s="593"/>
      <c r="D163" s="498" t="s">
        <v>424</v>
      </c>
      <c r="E163" s="583"/>
      <c r="F163" s="583"/>
      <c r="G163" s="583">
        <v>14000</v>
      </c>
    </row>
    <row r="164" spans="1:7" ht="26.25" customHeight="1">
      <c r="A164" s="162"/>
      <c r="B164" s="162"/>
      <c r="C164" s="593"/>
      <c r="D164" s="498" t="s">
        <v>77</v>
      </c>
      <c r="E164" s="583"/>
      <c r="F164" s="583"/>
      <c r="G164" s="583">
        <v>8000</v>
      </c>
    </row>
    <row r="165" spans="1:7" ht="20.25" customHeight="1">
      <c r="A165" s="162"/>
      <c r="B165" s="162"/>
      <c r="C165" s="593"/>
      <c r="D165" s="498" t="s">
        <v>93</v>
      </c>
      <c r="E165" s="583"/>
      <c r="F165" s="583"/>
      <c r="G165" s="583">
        <v>29500</v>
      </c>
    </row>
    <row r="166" spans="1:7" ht="26.25" customHeight="1">
      <c r="A166" s="162"/>
      <c r="B166" s="162"/>
      <c r="C166" s="593"/>
      <c r="D166" s="498" t="s">
        <v>396</v>
      </c>
      <c r="E166" s="583"/>
      <c r="F166" s="583"/>
      <c r="G166" s="583">
        <v>15000</v>
      </c>
    </row>
    <row r="167" spans="1:7" ht="26.25" customHeight="1">
      <c r="A167" s="162"/>
      <c r="B167" s="162"/>
      <c r="C167" s="593"/>
      <c r="D167" s="498" t="s">
        <v>425</v>
      </c>
      <c r="E167" s="583"/>
      <c r="F167" s="583"/>
      <c r="G167" s="583">
        <v>21900</v>
      </c>
    </row>
    <row r="168" spans="1:7" ht="26.25" customHeight="1">
      <c r="A168" s="162"/>
      <c r="B168" s="162"/>
      <c r="C168" s="593"/>
      <c r="D168" s="498" t="s">
        <v>17</v>
      </c>
      <c r="E168" s="583"/>
      <c r="F168" s="583"/>
      <c r="G168" s="583">
        <v>14000</v>
      </c>
    </row>
    <row r="169" spans="2:7" ht="20.25" customHeight="1">
      <c r="B169" s="162"/>
      <c r="C169" s="162"/>
      <c r="D169" s="599" t="s">
        <v>126</v>
      </c>
      <c r="E169" s="594"/>
      <c r="F169" s="594"/>
      <c r="G169" s="594">
        <v>4000</v>
      </c>
    </row>
    <row r="170" spans="1:7" ht="39" customHeight="1">
      <c r="A170" s="162"/>
      <c r="B170" s="162"/>
      <c r="C170" s="593"/>
      <c r="D170" s="599" t="s">
        <v>426</v>
      </c>
      <c r="E170" s="594"/>
      <c r="F170" s="594"/>
      <c r="G170" s="594">
        <v>22000</v>
      </c>
    </row>
    <row r="171" spans="1:7" ht="20.25" customHeight="1">
      <c r="A171" s="162"/>
      <c r="B171" s="162"/>
      <c r="C171" s="593"/>
      <c r="D171" s="498" t="s">
        <v>427</v>
      </c>
      <c r="E171" s="583"/>
      <c r="F171" s="583"/>
      <c r="G171" s="583">
        <v>12000</v>
      </c>
    </row>
    <row r="172" spans="1:7" ht="26.25" customHeight="1">
      <c r="A172" s="162"/>
      <c r="B172" s="162"/>
      <c r="C172" s="593"/>
      <c r="D172" s="498" t="s">
        <v>411</v>
      </c>
      <c r="E172" s="583"/>
      <c r="F172" s="583"/>
      <c r="G172" s="583">
        <v>19600</v>
      </c>
    </row>
    <row r="173" spans="1:7" ht="26.25" customHeight="1">
      <c r="A173" s="162"/>
      <c r="B173" s="162"/>
      <c r="C173" s="593"/>
      <c r="D173" s="498" t="s">
        <v>429</v>
      </c>
      <c r="E173" s="583"/>
      <c r="F173" s="583"/>
      <c r="G173" s="583">
        <v>3000</v>
      </c>
    </row>
    <row r="174" spans="1:7" ht="26.25" customHeight="1">
      <c r="A174" s="162"/>
      <c r="B174" s="162"/>
      <c r="C174" s="593"/>
      <c r="D174" s="498" t="s">
        <v>430</v>
      </c>
      <c r="E174" s="583"/>
      <c r="F174" s="583"/>
      <c r="G174" s="583">
        <v>8000</v>
      </c>
    </row>
    <row r="175" spans="1:7" ht="26.25" customHeight="1">
      <c r="A175" s="162"/>
      <c r="B175" s="162"/>
      <c r="C175" s="593"/>
      <c r="D175" s="498" t="s">
        <v>431</v>
      </c>
      <c r="E175" s="583"/>
      <c r="F175" s="583"/>
      <c r="G175" s="583">
        <v>36000</v>
      </c>
    </row>
    <row r="176" spans="1:7" ht="26.25" customHeight="1">
      <c r="A176" s="166"/>
      <c r="B176" s="166"/>
      <c r="C176" s="127"/>
      <c r="D176" s="595" t="s">
        <v>76</v>
      </c>
      <c r="E176" s="596"/>
      <c r="F176" s="596"/>
      <c r="G176" s="596">
        <v>3000</v>
      </c>
    </row>
    <row r="177" spans="1:7" ht="39" customHeight="1">
      <c r="A177" s="162"/>
      <c r="B177" s="162"/>
      <c r="C177" s="127">
        <v>2830</v>
      </c>
      <c r="D177" s="119" t="s">
        <v>414</v>
      </c>
      <c r="E177" s="75"/>
      <c r="F177" s="75">
        <v>6600</v>
      </c>
      <c r="G177" s="75">
        <v>6600</v>
      </c>
    </row>
    <row r="178" spans="1:7" ht="20.25" customHeight="1">
      <c r="A178" s="162"/>
      <c r="B178" s="162"/>
      <c r="C178" s="593"/>
      <c r="D178" s="140" t="s">
        <v>12</v>
      </c>
      <c r="E178" s="591"/>
      <c r="F178" s="591">
        <v>6600</v>
      </c>
      <c r="G178" s="591"/>
    </row>
    <row r="179" spans="1:7" ht="26.25" customHeight="1">
      <c r="A179" s="162"/>
      <c r="B179" s="162"/>
      <c r="C179" s="593"/>
      <c r="D179" s="599" t="s">
        <v>78</v>
      </c>
      <c r="E179" s="133"/>
      <c r="F179" s="133"/>
      <c r="G179" s="133">
        <v>6600</v>
      </c>
    </row>
    <row r="180" spans="1:7" ht="20.25" customHeight="1">
      <c r="A180" s="162"/>
      <c r="B180" s="162"/>
      <c r="C180" s="127">
        <v>4300</v>
      </c>
      <c r="D180" s="119" t="s">
        <v>262</v>
      </c>
      <c r="E180" s="75"/>
      <c r="F180" s="75">
        <v>232300</v>
      </c>
      <c r="G180" s="75"/>
    </row>
    <row r="181" spans="1:7" ht="26.25" customHeight="1">
      <c r="A181" s="162"/>
      <c r="B181" s="162"/>
      <c r="C181" s="64"/>
      <c r="D181" s="499" t="s">
        <v>417</v>
      </c>
      <c r="E181" s="92"/>
      <c r="F181" s="92">
        <f>SUM(F182:F225)-F183-F189-F212</f>
        <v>985406</v>
      </c>
      <c r="G181" s="92">
        <f>SUM(G184:G224)-G188-G211</f>
        <v>428150</v>
      </c>
    </row>
    <row r="182" spans="1:7" ht="26.25" customHeight="1">
      <c r="A182" s="162"/>
      <c r="B182" s="162"/>
      <c r="C182" s="127">
        <v>2810</v>
      </c>
      <c r="D182" s="119" t="s">
        <v>389</v>
      </c>
      <c r="E182" s="75"/>
      <c r="F182" s="75">
        <v>32750</v>
      </c>
      <c r="G182" s="75">
        <v>32750</v>
      </c>
    </row>
    <row r="183" spans="1:7" ht="20.25" customHeight="1">
      <c r="A183" s="162"/>
      <c r="B183" s="162"/>
      <c r="C183" s="593"/>
      <c r="D183" s="140" t="s">
        <v>12</v>
      </c>
      <c r="E183" s="591"/>
      <c r="F183" s="591">
        <v>32750</v>
      </c>
      <c r="G183" s="591"/>
    </row>
    <row r="184" spans="1:7" ht="26.25" customHeight="1">
      <c r="A184" s="162"/>
      <c r="B184" s="162"/>
      <c r="C184" s="593"/>
      <c r="D184" s="647" t="s">
        <v>79</v>
      </c>
      <c r="E184" s="123"/>
      <c r="F184" s="123"/>
      <c r="G184" s="123">
        <v>9000</v>
      </c>
    </row>
    <row r="185" spans="1:7" ht="26.25" customHeight="1">
      <c r="A185" s="162"/>
      <c r="B185" s="162"/>
      <c r="C185" s="593"/>
      <c r="D185" s="498" t="s">
        <v>421</v>
      </c>
      <c r="E185" s="583"/>
      <c r="F185" s="583"/>
      <c r="G185" s="583">
        <v>10750</v>
      </c>
    </row>
    <row r="186" spans="1:7" ht="18.75" customHeight="1">
      <c r="A186" s="162"/>
      <c r="B186" s="162"/>
      <c r="C186" s="593"/>
      <c r="D186" s="498" t="s">
        <v>80</v>
      </c>
      <c r="E186" s="583"/>
      <c r="F186" s="583"/>
      <c r="G186" s="583">
        <v>1000</v>
      </c>
    </row>
    <row r="187" spans="1:7" ht="26.25" customHeight="1">
      <c r="A187" s="162"/>
      <c r="B187" s="162"/>
      <c r="C187" s="593"/>
      <c r="D187" s="498" t="s">
        <v>81</v>
      </c>
      <c r="E187" s="583"/>
      <c r="F187" s="583"/>
      <c r="G187" s="583">
        <v>12000</v>
      </c>
    </row>
    <row r="188" spans="1:7" ht="26.25" customHeight="1">
      <c r="A188" s="162"/>
      <c r="B188" s="162"/>
      <c r="C188" s="127">
        <v>2820</v>
      </c>
      <c r="D188" s="128" t="s">
        <v>387</v>
      </c>
      <c r="E188" s="123"/>
      <c r="F188" s="123">
        <v>276900</v>
      </c>
      <c r="G188" s="123">
        <v>276900</v>
      </c>
    </row>
    <row r="189" spans="1:7" ht="21" customHeight="1">
      <c r="A189" s="162"/>
      <c r="B189" s="162"/>
      <c r="C189" s="593"/>
      <c r="D189" s="140" t="s">
        <v>12</v>
      </c>
      <c r="E189" s="591"/>
      <c r="F189" s="591">
        <v>276900</v>
      </c>
      <c r="G189" s="591"/>
    </row>
    <row r="190" spans="1:7" ht="26.25" customHeight="1">
      <c r="A190" s="162"/>
      <c r="B190" s="162"/>
      <c r="C190" s="593"/>
      <c r="D190" s="599" t="s">
        <v>83</v>
      </c>
      <c r="E190" s="133"/>
      <c r="F190" s="133"/>
      <c r="G190" s="133">
        <v>8000</v>
      </c>
    </row>
    <row r="191" spans="1:7" ht="26.25" customHeight="1">
      <c r="A191" s="162"/>
      <c r="B191" s="162"/>
      <c r="C191" s="593"/>
      <c r="D191" s="597" t="s">
        <v>84</v>
      </c>
      <c r="E191" s="594"/>
      <c r="F191" s="594"/>
      <c r="G191" s="594">
        <v>5500</v>
      </c>
    </row>
    <row r="192" spans="1:7" ht="26.25" customHeight="1">
      <c r="A192" s="162"/>
      <c r="B192" s="162"/>
      <c r="C192" s="593"/>
      <c r="D192" s="498" t="s">
        <v>85</v>
      </c>
      <c r="E192" s="583"/>
      <c r="F192" s="583"/>
      <c r="G192" s="583">
        <v>8000</v>
      </c>
    </row>
    <row r="193" spans="1:7" ht="26.25" customHeight="1">
      <c r="A193" s="162"/>
      <c r="B193" s="162"/>
      <c r="C193" s="593"/>
      <c r="D193" s="599" t="s">
        <v>86</v>
      </c>
      <c r="E193" s="594"/>
      <c r="F193" s="594"/>
      <c r="G193" s="594">
        <v>10000</v>
      </c>
    </row>
    <row r="194" spans="1:7" ht="26.25" customHeight="1">
      <c r="A194" s="162"/>
      <c r="B194" s="162"/>
      <c r="C194" s="593"/>
      <c r="D194" s="599" t="s">
        <v>87</v>
      </c>
      <c r="E194" s="594"/>
      <c r="F194" s="594"/>
      <c r="G194" s="594">
        <v>5000</v>
      </c>
    </row>
    <row r="195" spans="1:7" ht="26.25" customHeight="1">
      <c r="A195" s="162"/>
      <c r="B195" s="162"/>
      <c r="C195" s="593"/>
      <c r="D195" s="498" t="s">
        <v>88</v>
      </c>
      <c r="E195" s="583"/>
      <c r="F195" s="583"/>
      <c r="G195" s="583">
        <v>22000</v>
      </c>
    </row>
    <row r="196" spans="1:7" ht="20.25" customHeight="1">
      <c r="A196" s="162"/>
      <c r="B196" s="162"/>
      <c r="C196" s="593"/>
      <c r="D196" s="498" t="s">
        <v>408</v>
      </c>
      <c r="E196" s="583"/>
      <c r="F196" s="583"/>
      <c r="G196" s="583">
        <v>5000</v>
      </c>
    </row>
    <row r="197" spans="1:7" ht="20.25" customHeight="1">
      <c r="A197" s="162"/>
      <c r="B197" s="162"/>
      <c r="C197" s="593"/>
      <c r="D197" s="498" t="s">
        <v>89</v>
      </c>
      <c r="E197" s="583"/>
      <c r="F197" s="583"/>
      <c r="G197" s="583">
        <v>15000</v>
      </c>
    </row>
    <row r="198" spans="1:7" ht="19.5" customHeight="1">
      <c r="A198" s="166"/>
      <c r="B198" s="166"/>
      <c r="C198" s="127"/>
      <c r="D198" s="595" t="s">
        <v>90</v>
      </c>
      <c r="E198" s="596"/>
      <c r="F198" s="596"/>
      <c r="G198" s="596">
        <v>12000</v>
      </c>
    </row>
    <row r="199" spans="1:7" ht="40.5" customHeight="1">
      <c r="A199" s="162"/>
      <c r="B199" s="162"/>
      <c r="C199" s="593"/>
      <c r="D199" s="599" t="s">
        <v>419</v>
      </c>
      <c r="E199" s="594"/>
      <c r="F199" s="594"/>
      <c r="G199" s="594">
        <v>14500</v>
      </c>
    </row>
    <row r="200" spans="1:7" ht="27" customHeight="1">
      <c r="A200" s="162"/>
      <c r="B200" s="162"/>
      <c r="C200" s="593"/>
      <c r="D200" s="498" t="s">
        <v>82</v>
      </c>
      <c r="E200" s="583"/>
      <c r="F200" s="583"/>
      <c r="G200" s="583">
        <v>5000</v>
      </c>
    </row>
    <row r="201" spans="1:7" ht="20.25" customHeight="1">
      <c r="A201" s="162"/>
      <c r="B201" s="162"/>
      <c r="C201" s="593"/>
      <c r="D201" s="498" t="s">
        <v>126</v>
      </c>
      <c r="E201" s="583"/>
      <c r="F201" s="583"/>
      <c r="G201" s="583">
        <v>4000</v>
      </c>
    </row>
    <row r="202" spans="1:7" ht="26.25" customHeight="1">
      <c r="A202" s="162"/>
      <c r="B202" s="162"/>
      <c r="C202" s="593"/>
      <c r="D202" s="498" t="s">
        <v>396</v>
      </c>
      <c r="E202" s="583"/>
      <c r="F202" s="583"/>
      <c r="G202" s="583">
        <v>7000</v>
      </c>
    </row>
    <row r="203" spans="1:7" ht="18" customHeight="1">
      <c r="A203" s="162"/>
      <c r="B203" s="162"/>
      <c r="C203" s="593"/>
      <c r="D203" s="498" t="s">
        <v>427</v>
      </c>
      <c r="E203" s="583"/>
      <c r="F203" s="583"/>
      <c r="G203" s="583">
        <v>4500</v>
      </c>
    </row>
    <row r="204" spans="1:7" ht="26.25" customHeight="1">
      <c r="A204" s="162"/>
      <c r="B204" s="162"/>
      <c r="C204" s="593"/>
      <c r="D204" s="498" t="s">
        <v>130</v>
      </c>
      <c r="E204" s="583"/>
      <c r="F204" s="583"/>
      <c r="G204" s="583">
        <v>86000</v>
      </c>
    </row>
    <row r="205" spans="1:7" ht="26.25" customHeight="1">
      <c r="A205" s="162"/>
      <c r="B205" s="162"/>
      <c r="C205" s="593"/>
      <c r="D205" s="498" t="s">
        <v>91</v>
      </c>
      <c r="E205" s="583"/>
      <c r="F205" s="583"/>
      <c r="G205" s="583">
        <v>14000</v>
      </c>
    </row>
    <row r="206" spans="1:7" ht="26.25" customHeight="1">
      <c r="A206" s="162"/>
      <c r="B206" s="162"/>
      <c r="C206" s="593"/>
      <c r="D206" s="498" t="s">
        <v>92</v>
      </c>
      <c r="E206" s="583"/>
      <c r="F206" s="583"/>
      <c r="G206" s="583">
        <v>7000</v>
      </c>
    </row>
    <row r="207" spans="1:7" ht="20.25" customHeight="1">
      <c r="A207" s="162"/>
      <c r="B207" s="162"/>
      <c r="C207" s="593"/>
      <c r="D207" s="498" t="s">
        <v>93</v>
      </c>
      <c r="E207" s="583"/>
      <c r="F207" s="583"/>
      <c r="G207" s="583">
        <v>8000</v>
      </c>
    </row>
    <row r="208" spans="1:7" ht="26.25" customHeight="1">
      <c r="A208" s="162"/>
      <c r="B208" s="162"/>
      <c r="C208" s="593"/>
      <c r="D208" s="498" t="s">
        <v>76</v>
      </c>
      <c r="E208" s="583"/>
      <c r="F208" s="583"/>
      <c r="G208" s="583">
        <v>1400</v>
      </c>
    </row>
    <row r="209" spans="1:7" ht="26.25" customHeight="1">
      <c r="A209" s="162"/>
      <c r="B209" s="162"/>
      <c r="C209" s="593"/>
      <c r="D209" s="498" t="s">
        <v>428</v>
      </c>
      <c r="E209" s="583"/>
      <c r="F209" s="583"/>
      <c r="G209" s="583">
        <v>19000</v>
      </c>
    </row>
    <row r="210" spans="1:7" ht="20.25" customHeight="1">
      <c r="A210" s="162"/>
      <c r="B210" s="162"/>
      <c r="C210" s="593"/>
      <c r="D210" s="598" t="s">
        <v>18</v>
      </c>
      <c r="E210" s="583"/>
      <c r="F210" s="583"/>
      <c r="G210" s="583">
        <v>16000</v>
      </c>
    </row>
    <row r="211" spans="1:7" ht="38.25" customHeight="1">
      <c r="A211" s="162"/>
      <c r="B211" s="162"/>
      <c r="C211" s="127">
        <v>2830</v>
      </c>
      <c r="D211" s="595" t="s">
        <v>414</v>
      </c>
      <c r="E211" s="596"/>
      <c r="F211" s="596">
        <v>118500</v>
      </c>
      <c r="G211" s="596">
        <v>118500</v>
      </c>
    </row>
    <row r="212" spans="1:7" ht="18" customHeight="1">
      <c r="A212" s="162"/>
      <c r="B212" s="162"/>
      <c r="C212" s="593"/>
      <c r="D212" s="140" t="s">
        <v>12</v>
      </c>
      <c r="E212" s="588"/>
      <c r="F212" s="588">
        <v>118500</v>
      </c>
      <c r="G212" s="588"/>
    </row>
    <row r="213" spans="1:7" ht="26.25" customHeight="1">
      <c r="A213" s="162"/>
      <c r="B213" s="162"/>
      <c r="C213" s="593"/>
      <c r="D213" s="599" t="s">
        <v>94</v>
      </c>
      <c r="E213" s="594"/>
      <c r="F213" s="594"/>
      <c r="G213" s="594">
        <v>22000</v>
      </c>
    </row>
    <row r="214" spans="1:7" ht="27" customHeight="1">
      <c r="A214" s="162"/>
      <c r="B214" s="162"/>
      <c r="C214" s="593"/>
      <c r="D214" s="498" t="s">
        <v>95</v>
      </c>
      <c r="E214" s="583"/>
      <c r="F214" s="583"/>
      <c r="G214" s="583">
        <v>14000</v>
      </c>
    </row>
    <row r="215" spans="1:7" ht="39" customHeight="1">
      <c r="A215" s="162"/>
      <c r="B215" s="162"/>
      <c r="C215" s="593"/>
      <c r="D215" s="599" t="s">
        <v>96</v>
      </c>
      <c r="E215" s="594"/>
      <c r="F215" s="594"/>
      <c r="G215" s="594">
        <v>5000</v>
      </c>
    </row>
    <row r="216" spans="1:7" ht="27" customHeight="1">
      <c r="A216" s="162"/>
      <c r="B216" s="162"/>
      <c r="C216" s="593"/>
      <c r="D216" s="599" t="s">
        <v>97</v>
      </c>
      <c r="E216" s="594"/>
      <c r="F216" s="594"/>
      <c r="G216" s="594">
        <v>2000</v>
      </c>
    </row>
    <row r="217" spans="1:7" ht="39" customHeight="1">
      <c r="A217" s="162"/>
      <c r="B217" s="162"/>
      <c r="C217" s="593"/>
      <c r="D217" s="498" t="s">
        <v>98</v>
      </c>
      <c r="E217" s="583"/>
      <c r="F217" s="583"/>
      <c r="G217" s="583">
        <v>11300</v>
      </c>
    </row>
    <row r="218" spans="1:7" ht="27.75" customHeight="1">
      <c r="A218" s="166"/>
      <c r="B218" s="166"/>
      <c r="C218" s="127"/>
      <c r="D218" s="595" t="s">
        <v>99</v>
      </c>
      <c r="E218" s="596"/>
      <c r="F218" s="596"/>
      <c r="G218" s="596">
        <v>5000</v>
      </c>
    </row>
    <row r="219" spans="1:7" ht="27.75" customHeight="1">
      <c r="A219" s="162"/>
      <c r="B219" s="162"/>
      <c r="C219" s="593"/>
      <c r="D219" s="599" t="s">
        <v>19</v>
      </c>
      <c r="E219" s="594"/>
      <c r="F219" s="594"/>
      <c r="G219" s="594">
        <v>11000</v>
      </c>
    </row>
    <row r="220" spans="1:7" ht="37.5" customHeight="1">
      <c r="A220" s="162"/>
      <c r="B220" s="162"/>
      <c r="C220" s="593"/>
      <c r="D220" s="498" t="s">
        <v>100</v>
      </c>
      <c r="E220" s="583"/>
      <c r="F220" s="583"/>
      <c r="G220" s="583">
        <v>10000</v>
      </c>
    </row>
    <row r="221" spans="1:7" ht="27.75" customHeight="1">
      <c r="A221" s="162"/>
      <c r="B221" s="162"/>
      <c r="C221" s="593"/>
      <c r="D221" s="498" t="s">
        <v>101</v>
      </c>
      <c r="E221" s="583"/>
      <c r="F221" s="583"/>
      <c r="G221" s="583">
        <v>11000</v>
      </c>
    </row>
    <row r="222" spans="1:7" ht="27.75" customHeight="1">
      <c r="A222" s="162"/>
      <c r="B222" s="162"/>
      <c r="C222" s="593"/>
      <c r="D222" s="498" t="s">
        <v>102</v>
      </c>
      <c r="E222" s="583"/>
      <c r="F222" s="583"/>
      <c r="G222" s="583">
        <v>20000</v>
      </c>
    </row>
    <row r="223" spans="1:7" ht="19.5" customHeight="1">
      <c r="A223" s="162"/>
      <c r="B223" s="162"/>
      <c r="C223" s="593"/>
      <c r="D223" s="498" t="s">
        <v>14</v>
      </c>
      <c r="E223" s="583"/>
      <c r="F223" s="583"/>
      <c r="G223" s="583">
        <v>2200</v>
      </c>
    </row>
    <row r="224" spans="1:7" ht="27.75" customHeight="1">
      <c r="A224" s="162"/>
      <c r="B224" s="162"/>
      <c r="C224" s="593"/>
      <c r="D224" s="498" t="s">
        <v>103</v>
      </c>
      <c r="E224" s="583"/>
      <c r="F224" s="583"/>
      <c r="G224" s="583">
        <v>5000</v>
      </c>
    </row>
    <row r="225" spans="1:7" ht="19.5" customHeight="1">
      <c r="A225" s="162"/>
      <c r="B225" s="162"/>
      <c r="C225" s="63">
        <v>4300</v>
      </c>
      <c r="D225" s="119" t="s">
        <v>262</v>
      </c>
      <c r="E225" s="75"/>
      <c r="F225" s="75">
        <f>37316+519940</f>
        <v>557256</v>
      </c>
      <c r="G225" s="75"/>
    </row>
    <row r="226" spans="1:7" ht="28.5" customHeight="1">
      <c r="A226" s="162"/>
      <c r="B226" s="162"/>
      <c r="C226" s="64"/>
      <c r="D226" s="499" t="s">
        <v>418</v>
      </c>
      <c r="E226" s="92"/>
      <c r="F226" s="92">
        <f>SUM(F227:F237)-F228-F235</f>
        <v>83500</v>
      </c>
      <c r="G226" s="92">
        <f>SUM(G229:G236)-G234</f>
        <v>41000</v>
      </c>
    </row>
    <row r="227" spans="1:7" ht="29.25" customHeight="1">
      <c r="A227" s="162"/>
      <c r="B227" s="162"/>
      <c r="C227" s="127">
        <v>2820</v>
      </c>
      <c r="D227" s="128" t="s">
        <v>387</v>
      </c>
      <c r="E227" s="123"/>
      <c r="F227" s="123">
        <v>39000</v>
      </c>
      <c r="G227" s="123">
        <v>39000</v>
      </c>
    </row>
    <row r="228" spans="1:7" ht="22.5" customHeight="1">
      <c r="A228" s="162"/>
      <c r="B228" s="162"/>
      <c r="C228" s="593"/>
      <c r="D228" s="140" t="s">
        <v>12</v>
      </c>
      <c r="E228" s="591"/>
      <c r="F228" s="591">
        <v>39000</v>
      </c>
      <c r="G228" s="591"/>
    </row>
    <row r="229" spans="1:7" ht="20.25" customHeight="1">
      <c r="A229" s="162"/>
      <c r="B229" s="162"/>
      <c r="C229" s="593"/>
      <c r="D229" s="599" t="s">
        <v>104</v>
      </c>
      <c r="E229" s="133"/>
      <c r="F229" s="133"/>
      <c r="G229" s="133">
        <v>6000</v>
      </c>
    </row>
    <row r="230" spans="1:7" ht="26.25" customHeight="1">
      <c r="A230" s="162"/>
      <c r="B230" s="162"/>
      <c r="C230" s="593"/>
      <c r="D230" s="498" t="s">
        <v>105</v>
      </c>
      <c r="E230" s="492"/>
      <c r="F230" s="492"/>
      <c r="G230" s="492">
        <v>7000</v>
      </c>
    </row>
    <row r="231" spans="1:7" ht="19.5" customHeight="1">
      <c r="A231" s="162"/>
      <c r="B231" s="162"/>
      <c r="C231" s="593"/>
      <c r="D231" s="498" t="s">
        <v>93</v>
      </c>
      <c r="E231" s="492"/>
      <c r="F231" s="492"/>
      <c r="G231" s="492">
        <v>14500</v>
      </c>
    </row>
    <row r="232" spans="1:7" ht="27.75" customHeight="1">
      <c r="A232" s="162"/>
      <c r="B232" s="162"/>
      <c r="C232" s="593"/>
      <c r="D232" s="498" t="s">
        <v>411</v>
      </c>
      <c r="E232" s="492"/>
      <c r="F232" s="492"/>
      <c r="G232" s="492">
        <v>6000</v>
      </c>
    </row>
    <row r="233" spans="1:7" ht="25.5" customHeight="1">
      <c r="A233" s="162"/>
      <c r="B233" s="162"/>
      <c r="C233" s="593"/>
      <c r="D233" s="498" t="s">
        <v>106</v>
      </c>
      <c r="E233" s="492"/>
      <c r="F233" s="492"/>
      <c r="G233" s="492">
        <v>5500</v>
      </c>
    </row>
    <row r="234" spans="1:7" ht="39" customHeight="1">
      <c r="A234" s="162"/>
      <c r="B234" s="162"/>
      <c r="C234" s="127">
        <v>2830</v>
      </c>
      <c r="D234" s="119" t="s">
        <v>414</v>
      </c>
      <c r="E234" s="75"/>
      <c r="F234" s="75">
        <v>2000</v>
      </c>
      <c r="G234" s="75">
        <v>2000</v>
      </c>
    </row>
    <row r="235" spans="1:7" ht="19.5" customHeight="1">
      <c r="A235" s="162"/>
      <c r="B235" s="162"/>
      <c r="C235" s="593"/>
      <c r="D235" s="140" t="s">
        <v>12</v>
      </c>
      <c r="E235" s="591"/>
      <c r="F235" s="591">
        <v>2000</v>
      </c>
      <c r="G235" s="591"/>
    </row>
    <row r="236" spans="1:7" ht="27.75" customHeight="1">
      <c r="A236" s="162"/>
      <c r="B236" s="162"/>
      <c r="C236" s="593"/>
      <c r="D236" s="647" t="s">
        <v>94</v>
      </c>
      <c r="E236" s="123"/>
      <c r="F236" s="123"/>
      <c r="G236" s="123">
        <v>2000</v>
      </c>
    </row>
    <row r="237" spans="1:7" ht="19.5" customHeight="1">
      <c r="A237" s="162"/>
      <c r="B237" s="166"/>
      <c r="C237" s="127">
        <v>4300</v>
      </c>
      <c r="D237" s="595" t="s">
        <v>262</v>
      </c>
      <c r="E237" s="596"/>
      <c r="F237" s="596">
        <v>42500</v>
      </c>
      <c r="G237" s="596"/>
    </row>
    <row r="238" spans="1:7" ht="21" customHeight="1">
      <c r="A238" s="162"/>
      <c r="B238" s="62">
        <v>85195</v>
      </c>
      <c r="C238" s="206"/>
      <c r="D238" s="42" t="s">
        <v>225</v>
      </c>
      <c r="E238" s="75"/>
      <c r="F238" s="74">
        <f>F239</f>
        <v>328800</v>
      </c>
      <c r="G238" s="74">
        <f>G239</f>
        <v>215000</v>
      </c>
    </row>
    <row r="239" spans="1:7" ht="27" customHeight="1">
      <c r="A239" s="166"/>
      <c r="B239" s="85"/>
      <c r="C239" s="85"/>
      <c r="D239" s="287" t="s">
        <v>386</v>
      </c>
      <c r="E239" s="287"/>
      <c r="F239" s="258">
        <f>F240+F250+F275+F284+F295+F303+F315+F329+F336</f>
        <v>328800</v>
      </c>
      <c r="G239" s="258">
        <f>G240+G250+G275+G284+G295+G303+G315+G329</f>
        <v>215000</v>
      </c>
    </row>
    <row r="240" spans="1:7" ht="52.5" customHeight="1">
      <c r="A240" s="162"/>
      <c r="B240" s="64"/>
      <c r="C240" s="64"/>
      <c r="D240" s="499" t="s">
        <v>125</v>
      </c>
      <c r="E240" s="499"/>
      <c r="F240" s="92">
        <f>F241</f>
        <v>25000</v>
      </c>
      <c r="G240" s="230">
        <f>SUM(G243:G249)</f>
        <v>25000</v>
      </c>
    </row>
    <row r="241" spans="1:7" ht="26.25" customHeight="1">
      <c r="A241" s="162"/>
      <c r="B241" s="64"/>
      <c r="C241" s="119">
        <v>2820</v>
      </c>
      <c r="D241" s="474" t="s">
        <v>387</v>
      </c>
      <c r="E241" s="474"/>
      <c r="F241" s="90">
        <v>25000</v>
      </c>
      <c r="G241" s="585">
        <v>25000</v>
      </c>
    </row>
    <row r="242" spans="1:7" ht="21" customHeight="1">
      <c r="A242" s="162"/>
      <c r="B242" s="64"/>
      <c r="C242" s="128"/>
      <c r="D242" s="128" t="s">
        <v>12</v>
      </c>
      <c r="E242" s="128"/>
      <c r="F242" s="123">
        <v>25000</v>
      </c>
      <c r="G242" s="509"/>
    </row>
    <row r="243" spans="1:7" ht="28.5" customHeight="1">
      <c r="A243" s="162"/>
      <c r="B243" s="64"/>
      <c r="C243" s="128"/>
      <c r="D243" s="498" t="s">
        <v>127</v>
      </c>
      <c r="E243" s="498"/>
      <c r="F243" s="583"/>
      <c r="G243" s="493">
        <v>1500</v>
      </c>
    </row>
    <row r="244" spans="1:7" ht="27" customHeight="1">
      <c r="A244" s="162"/>
      <c r="B244" s="64"/>
      <c r="C244" s="128"/>
      <c r="D244" s="498" t="s">
        <v>128</v>
      </c>
      <c r="E244" s="498"/>
      <c r="F244" s="583"/>
      <c r="G244" s="493">
        <v>2000</v>
      </c>
    </row>
    <row r="245" spans="1:7" ht="27" customHeight="1">
      <c r="A245" s="162"/>
      <c r="B245" s="64"/>
      <c r="C245" s="128"/>
      <c r="D245" s="498" t="s">
        <v>129</v>
      </c>
      <c r="E245" s="498"/>
      <c r="F245" s="583"/>
      <c r="G245" s="493">
        <v>4000</v>
      </c>
    </row>
    <row r="246" spans="1:7" ht="27" customHeight="1">
      <c r="A246" s="162"/>
      <c r="B246" s="64"/>
      <c r="C246" s="128"/>
      <c r="D246" s="498" t="s">
        <v>130</v>
      </c>
      <c r="E246" s="498"/>
      <c r="F246" s="583"/>
      <c r="G246" s="493">
        <v>3500</v>
      </c>
    </row>
    <row r="247" spans="1:7" ht="20.25" customHeight="1">
      <c r="A247" s="162"/>
      <c r="B247" s="64"/>
      <c r="C247" s="128"/>
      <c r="D247" s="498" t="s">
        <v>126</v>
      </c>
      <c r="E247" s="498"/>
      <c r="F247" s="583"/>
      <c r="G247" s="493">
        <v>8000</v>
      </c>
    </row>
    <row r="248" spans="1:7" ht="27" customHeight="1">
      <c r="A248" s="162"/>
      <c r="B248" s="64"/>
      <c r="C248" s="128"/>
      <c r="D248" s="498" t="s">
        <v>131</v>
      </c>
      <c r="E248" s="498"/>
      <c r="F248" s="583"/>
      <c r="G248" s="493">
        <v>4000</v>
      </c>
    </row>
    <row r="249" spans="1:7" ht="27" customHeight="1">
      <c r="A249" s="162"/>
      <c r="B249" s="64"/>
      <c r="C249" s="128"/>
      <c r="D249" s="498" t="s">
        <v>132</v>
      </c>
      <c r="E249" s="498"/>
      <c r="F249" s="583"/>
      <c r="G249" s="493">
        <v>2000</v>
      </c>
    </row>
    <row r="250" spans="1:7" ht="25.5" customHeight="1">
      <c r="A250" s="162"/>
      <c r="B250" s="64"/>
      <c r="C250" s="64"/>
      <c r="D250" s="499" t="s">
        <v>388</v>
      </c>
      <c r="E250" s="499"/>
      <c r="F250" s="92">
        <f>SUM(F252:F256)</f>
        <v>100000</v>
      </c>
      <c r="G250" s="230">
        <f>SUM(G253:G274)-G256</f>
        <v>100000</v>
      </c>
    </row>
    <row r="251" spans="1:7" ht="27" customHeight="1">
      <c r="A251" s="162"/>
      <c r="B251" s="64"/>
      <c r="C251" s="119">
        <v>2810</v>
      </c>
      <c r="D251" s="119" t="s">
        <v>389</v>
      </c>
      <c r="E251" s="119"/>
      <c r="F251" s="90">
        <v>10000</v>
      </c>
      <c r="G251" s="59">
        <v>10000</v>
      </c>
    </row>
    <row r="252" spans="1:7" ht="18" customHeight="1">
      <c r="A252" s="162"/>
      <c r="B252" s="64"/>
      <c r="C252" s="128"/>
      <c r="D252" s="140" t="s">
        <v>12</v>
      </c>
      <c r="E252" s="140"/>
      <c r="F252" s="591">
        <v>10000</v>
      </c>
      <c r="G252" s="589"/>
    </row>
    <row r="253" spans="1:7" ht="20.25" customHeight="1">
      <c r="A253" s="162"/>
      <c r="B253" s="64"/>
      <c r="C253" s="128"/>
      <c r="D253" s="128" t="s">
        <v>133</v>
      </c>
      <c r="E253" s="128"/>
      <c r="F253" s="123"/>
      <c r="G253" s="509">
        <v>3000</v>
      </c>
    </row>
    <row r="254" spans="1:7" ht="20.25" customHeight="1">
      <c r="A254" s="162"/>
      <c r="B254" s="64"/>
      <c r="C254" s="128"/>
      <c r="D254" s="498" t="s">
        <v>20</v>
      </c>
      <c r="E254" s="498"/>
      <c r="F254" s="492"/>
      <c r="G254" s="493">
        <v>2000</v>
      </c>
    </row>
    <row r="255" spans="1:7" ht="27" customHeight="1">
      <c r="A255" s="162"/>
      <c r="B255" s="64"/>
      <c r="C255" s="128"/>
      <c r="D255" s="498" t="s">
        <v>134</v>
      </c>
      <c r="E255" s="498"/>
      <c r="F255" s="492"/>
      <c r="G255" s="493">
        <v>5000</v>
      </c>
    </row>
    <row r="256" spans="1:7" ht="26.25" customHeight="1">
      <c r="A256" s="162"/>
      <c r="B256" s="64"/>
      <c r="C256" s="119">
        <v>2820</v>
      </c>
      <c r="D256" s="119" t="s">
        <v>387</v>
      </c>
      <c r="E256" s="119"/>
      <c r="F256" s="75">
        <v>90000</v>
      </c>
      <c r="G256" s="59">
        <v>90000</v>
      </c>
    </row>
    <row r="257" spans="1:7" ht="21" customHeight="1">
      <c r="A257" s="162"/>
      <c r="B257" s="64"/>
      <c r="C257" s="128"/>
      <c r="D257" s="140" t="s">
        <v>12</v>
      </c>
      <c r="E257" s="140"/>
      <c r="F257" s="591">
        <v>90000</v>
      </c>
      <c r="G257" s="589"/>
    </row>
    <row r="258" spans="1:7" ht="26.25" customHeight="1">
      <c r="A258" s="162"/>
      <c r="B258" s="64"/>
      <c r="C258" s="128"/>
      <c r="D258" s="599" t="s">
        <v>135</v>
      </c>
      <c r="E258" s="599"/>
      <c r="F258" s="594"/>
      <c r="G258" s="607">
        <v>5000</v>
      </c>
    </row>
    <row r="259" spans="1:7" ht="25.5" customHeight="1">
      <c r="A259" s="162"/>
      <c r="B259" s="64"/>
      <c r="C259" s="128"/>
      <c r="D259" s="599" t="s">
        <v>136</v>
      </c>
      <c r="E259" s="599"/>
      <c r="F259" s="594"/>
      <c r="G259" s="607">
        <v>2000</v>
      </c>
    </row>
    <row r="260" spans="1:7" ht="25.5" customHeight="1">
      <c r="A260" s="166"/>
      <c r="B260" s="85"/>
      <c r="C260" s="119"/>
      <c r="D260" s="119" t="s">
        <v>137</v>
      </c>
      <c r="E260" s="119"/>
      <c r="F260" s="285"/>
      <c r="G260" s="59">
        <v>4000</v>
      </c>
    </row>
    <row r="261" spans="1:7" ht="25.5" customHeight="1">
      <c r="A261" s="162"/>
      <c r="B261" s="64"/>
      <c r="C261" s="128"/>
      <c r="D261" s="599" t="s">
        <v>138</v>
      </c>
      <c r="E261" s="599"/>
      <c r="F261" s="594"/>
      <c r="G261" s="607">
        <v>5000</v>
      </c>
    </row>
    <row r="262" spans="1:7" ht="25.5" customHeight="1">
      <c r="A262" s="162"/>
      <c r="B262" s="64"/>
      <c r="C262" s="128"/>
      <c r="D262" s="498" t="s">
        <v>139</v>
      </c>
      <c r="E262" s="498"/>
      <c r="F262" s="583"/>
      <c r="G262" s="493">
        <v>5000</v>
      </c>
    </row>
    <row r="263" spans="1:7" ht="26.25" customHeight="1">
      <c r="A263" s="162"/>
      <c r="B263" s="64"/>
      <c r="C263" s="128"/>
      <c r="D263" s="498" t="s">
        <v>140</v>
      </c>
      <c r="E263" s="498"/>
      <c r="F263" s="583"/>
      <c r="G263" s="493">
        <v>10000</v>
      </c>
    </row>
    <row r="264" spans="1:7" ht="26.25" customHeight="1">
      <c r="A264" s="162"/>
      <c r="B264" s="64"/>
      <c r="C264" s="128"/>
      <c r="D264" s="498" t="s">
        <v>141</v>
      </c>
      <c r="E264" s="498"/>
      <c r="F264" s="583"/>
      <c r="G264" s="493">
        <v>6000</v>
      </c>
    </row>
    <row r="265" spans="1:7" ht="26.25" customHeight="1">
      <c r="A265" s="162"/>
      <c r="B265" s="64"/>
      <c r="C265" s="128"/>
      <c r="D265" s="498" t="s">
        <v>142</v>
      </c>
      <c r="E265" s="498"/>
      <c r="F265" s="583"/>
      <c r="G265" s="493">
        <v>9000</v>
      </c>
    </row>
    <row r="266" spans="1:7" ht="26.25" customHeight="1">
      <c r="A266" s="162"/>
      <c r="B266" s="64"/>
      <c r="C266" s="128"/>
      <c r="D266" s="498" t="s">
        <v>143</v>
      </c>
      <c r="E266" s="498"/>
      <c r="F266" s="583"/>
      <c r="G266" s="493">
        <v>3000</v>
      </c>
    </row>
    <row r="267" spans="1:7" ht="37.5" customHeight="1">
      <c r="A267" s="162"/>
      <c r="B267" s="64"/>
      <c r="C267" s="128"/>
      <c r="D267" s="498" t="s">
        <v>21</v>
      </c>
      <c r="E267" s="498"/>
      <c r="F267" s="583"/>
      <c r="G267" s="493">
        <v>8000</v>
      </c>
    </row>
    <row r="268" spans="1:7" ht="25.5" customHeight="1">
      <c r="A268" s="162"/>
      <c r="B268" s="64"/>
      <c r="C268" s="128"/>
      <c r="D268" s="498" t="s">
        <v>144</v>
      </c>
      <c r="E268" s="498"/>
      <c r="F268" s="583"/>
      <c r="G268" s="493">
        <v>3000</v>
      </c>
    </row>
    <row r="269" spans="1:7" ht="38.25" customHeight="1">
      <c r="A269" s="162"/>
      <c r="B269" s="64"/>
      <c r="C269" s="128"/>
      <c r="D269" s="498" t="s">
        <v>145</v>
      </c>
      <c r="E269" s="498"/>
      <c r="F269" s="583"/>
      <c r="G269" s="493">
        <v>5000</v>
      </c>
    </row>
    <row r="270" spans="1:7" ht="25.5" customHeight="1">
      <c r="A270" s="162"/>
      <c r="B270" s="64"/>
      <c r="C270" s="128"/>
      <c r="D270" s="498" t="s">
        <v>146</v>
      </c>
      <c r="E270" s="498"/>
      <c r="F270" s="583"/>
      <c r="G270" s="493">
        <v>6000</v>
      </c>
    </row>
    <row r="271" spans="1:7" ht="26.25" customHeight="1">
      <c r="A271" s="162"/>
      <c r="B271" s="64"/>
      <c r="C271" s="128"/>
      <c r="D271" s="498" t="s">
        <v>147</v>
      </c>
      <c r="E271" s="498"/>
      <c r="F271" s="583"/>
      <c r="G271" s="493">
        <v>8000</v>
      </c>
    </row>
    <row r="272" spans="1:7" ht="26.25" customHeight="1">
      <c r="A272" s="162"/>
      <c r="B272" s="64"/>
      <c r="C272" s="128"/>
      <c r="D272" s="498" t="s">
        <v>148</v>
      </c>
      <c r="E272" s="498"/>
      <c r="F272" s="583"/>
      <c r="G272" s="493">
        <v>4000</v>
      </c>
    </row>
    <row r="273" spans="1:7" ht="24.75" customHeight="1">
      <c r="A273" s="162"/>
      <c r="B273" s="64"/>
      <c r="C273" s="128"/>
      <c r="D273" s="498" t="s">
        <v>149</v>
      </c>
      <c r="E273" s="498"/>
      <c r="F273" s="583"/>
      <c r="G273" s="493">
        <v>5000</v>
      </c>
    </row>
    <row r="274" spans="1:7" ht="19.5" customHeight="1">
      <c r="A274" s="162"/>
      <c r="B274" s="64"/>
      <c r="C274" s="128"/>
      <c r="D274" s="498" t="s">
        <v>22</v>
      </c>
      <c r="E274" s="498"/>
      <c r="F274" s="583"/>
      <c r="G274" s="493">
        <v>2000</v>
      </c>
    </row>
    <row r="275" spans="1:7" ht="27" customHeight="1">
      <c r="A275" s="162"/>
      <c r="B275" s="64"/>
      <c r="C275" s="64"/>
      <c r="D275" s="499" t="s">
        <v>23</v>
      </c>
      <c r="E275" s="499"/>
      <c r="F275" s="92">
        <f>F276</f>
        <v>27000</v>
      </c>
      <c r="G275" s="230">
        <f>SUM(G278:G283)</f>
        <v>32000</v>
      </c>
    </row>
    <row r="276" spans="1:7" ht="30" customHeight="1">
      <c r="A276" s="162"/>
      <c r="B276" s="64"/>
      <c r="C276" s="119">
        <v>2820</v>
      </c>
      <c r="D276" s="586" t="s">
        <v>387</v>
      </c>
      <c r="E276" s="586"/>
      <c r="F276" s="529">
        <v>27000</v>
      </c>
      <c r="G276" s="587">
        <v>27000</v>
      </c>
    </row>
    <row r="277" spans="1:7" ht="20.25" customHeight="1">
      <c r="A277" s="162"/>
      <c r="B277" s="64"/>
      <c r="C277" s="128"/>
      <c r="D277" s="140" t="s">
        <v>12</v>
      </c>
      <c r="E277" s="140"/>
      <c r="F277" s="591">
        <v>27000</v>
      </c>
      <c r="G277" s="589"/>
    </row>
    <row r="278" spans="1:7" ht="27" customHeight="1">
      <c r="A278" s="162"/>
      <c r="B278" s="64"/>
      <c r="C278" s="128"/>
      <c r="D278" s="599" t="s">
        <v>138</v>
      </c>
      <c r="E278" s="599"/>
      <c r="F278" s="594"/>
      <c r="G278" s="607">
        <v>6000</v>
      </c>
    </row>
    <row r="279" spans="1:7" ht="26.25" customHeight="1">
      <c r="A279" s="162"/>
      <c r="B279" s="64"/>
      <c r="C279" s="128"/>
      <c r="D279" s="599" t="s">
        <v>150</v>
      </c>
      <c r="E279" s="599"/>
      <c r="F279" s="594"/>
      <c r="G279" s="607">
        <v>6000</v>
      </c>
    </row>
    <row r="280" spans="1:7" ht="26.25" customHeight="1">
      <c r="A280" s="166"/>
      <c r="B280" s="85"/>
      <c r="C280" s="119"/>
      <c r="D280" s="119" t="s">
        <v>140</v>
      </c>
      <c r="E280" s="119"/>
      <c r="F280" s="285"/>
      <c r="G280" s="59">
        <v>10000</v>
      </c>
    </row>
    <row r="281" spans="1:7" ht="26.25" customHeight="1">
      <c r="A281" s="162"/>
      <c r="B281" s="64"/>
      <c r="C281" s="128"/>
      <c r="D281" s="599" t="s">
        <v>143</v>
      </c>
      <c r="E281" s="599"/>
      <c r="F281" s="594"/>
      <c r="G281" s="607">
        <v>3400</v>
      </c>
    </row>
    <row r="282" spans="1:7" ht="26.25" customHeight="1">
      <c r="A282" s="162"/>
      <c r="B282" s="64"/>
      <c r="C282" s="128"/>
      <c r="D282" s="498" t="s">
        <v>151</v>
      </c>
      <c r="E282" s="498"/>
      <c r="F282" s="583"/>
      <c r="G282" s="493">
        <v>1600</v>
      </c>
    </row>
    <row r="283" spans="1:7" ht="18" customHeight="1">
      <c r="A283" s="162"/>
      <c r="B283" s="64"/>
      <c r="C283" s="119">
        <v>4300</v>
      </c>
      <c r="D283" s="119" t="s">
        <v>262</v>
      </c>
      <c r="E283" s="119"/>
      <c r="F283" s="285"/>
      <c r="G283" s="59">
        <v>5000</v>
      </c>
    </row>
    <row r="284" spans="1:7" ht="50.25" customHeight="1">
      <c r="A284" s="162"/>
      <c r="B284" s="64"/>
      <c r="C284" s="64"/>
      <c r="D284" s="499" t="s">
        <v>391</v>
      </c>
      <c r="E284" s="499"/>
      <c r="F284" s="92">
        <f>SUM(F286:F288)</f>
        <v>12000</v>
      </c>
      <c r="G284" s="230">
        <f>SUM(G285:G294)-G285-G288</f>
        <v>12000</v>
      </c>
    </row>
    <row r="285" spans="1:7" ht="27" customHeight="1">
      <c r="A285" s="162"/>
      <c r="B285" s="64"/>
      <c r="C285" s="128">
        <v>2810</v>
      </c>
      <c r="D285" s="119" t="s">
        <v>389</v>
      </c>
      <c r="E285" s="119"/>
      <c r="F285" s="90">
        <v>3000</v>
      </c>
      <c r="G285" s="59">
        <v>3000</v>
      </c>
    </row>
    <row r="286" spans="1:7" ht="20.25" customHeight="1">
      <c r="A286" s="162"/>
      <c r="B286" s="64"/>
      <c r="C286" s="590"/>
      <c r="D286" s="745" t="s">
        <v>12</v>
      </c>
      <c r="E286" s="140"/>
      <c r="F286" s="591">
        <v>3000</v>
      </c>
      <c r="G286" s="589"/>
    </row>
    <row r="287" spans="1:7" ht="18" customHeight="1">
      <c r="A287" s="162"/>
      <c r="B287" s="64"/>
      <c r="C287" s="128"/>
      <c r="D287" s="744" t="s">
        <v>392</v>
      </c>
      <c r="E287" s="599"/>
      <c r="F287" s="133"/>
      <c r="G287" s="607">
        <v>3000</v>
      </c>
    </row>
    <row r="288" spans="1:7" ht="27" customHeight="1">
      <c r="A288" s="162"/>
      <c r="B288" s="64"/>
      <c r="C288" s="119">
        <v>2820</v>
      </c>
      <c r="D288" s="119" t="s">
        <v>387</v>
      </c>
      <c r="E288" s="119"/>
      <c r="F288" s="75">
        <v>9000</v>
      </c>
      <c r="G288" s="59">
        <v>9000</v>
      </c>
    </row>
    <row r="289" spans="1:7" ht="20.25" customHeight="1">
      <c r="A289" s="162"/>
      <c r="B289" s="64"/>
      <c r="C289" s="128"/>
      <c r="D289" s="140" t="s">
        <v>12</v>
      </c>
      <c r="E289" s="140"/>
      <c r="F289" s="591">
        <v>9000</v>
      </c>
      <c r="G289" s="589"/>
    </row>
    <row r="290" spans="1:7" ht="27" customHeight="1">
      <c r="A290" s="162"/>
      <c r="B290" s="64"/>
      <c r="C290" s="128"/>
      <c r="D290" s="128" t="s">
        <v>128</v>
      </c>
      <c r="E290" s="128"/>
      <c r="F290" s="123"/>
      <c r="G290" s="509">
        <v>1000</v>
      </c>
    </row>
    <row r="291" spans="1:7" ht="27" customHeight="1">
      <c r="A291" s="162"/>
      <c r="B291" s="64"/>
      <c r="C291" s="128"/>
      <c r="D291" s="498" t="s">
        <v>393</v>
      </c>
      <c r="E291" s="498"/>
      <c r="F291" s="492"/>
      <c r="G291" s="493">
        <v>1000</v>
      </c>
    </row>
    <row r="292" spans="1:7" ht="27" customHeight="1">
      <c r="A292" s="162"/>
      <c r="B292" s="64"/>
      <c r="C292" s="128"/>
      <c r="D292" s="498" t="s">
        <v>129</v>
      </c>
      <c r="E292" s="498"/>
      <c r="F292" s="492"/>
      <c r="G292" s="493">
        <v>1000</v>
      </c>
    </row>
    <row r="293" spans="1:7" ht="27" customHeight="1">
      <c r="A293" s="162"/>
      <c r="B293" s="64"/>
      <c r="C293" s="128"/>
      <c r="D293" s="498" t="s">
        <v>24</v>
      </c>
      <c r="E293" s="498"/>
      <c r="F293" s="492"/>
      <c r="G293" s="493">
        <v>2000</v>
      </c>
    </row>
    <row r="294" spans="1:7" ht="21" customHeight="1">
      <c r="A294" s="162"/>
      <c r="B294" s="64"/>
      <c r="C294" s="128"/>
      <c r="D294" s="498" t="s">
        <v>394</v>
      </c>
      <c r="E294" s="498"/>
      <c r="F294" s="492"/>
      <c r="G294" s="493">
        <v>4000</v>
      </c>
    </row>
    <row r="295" spans="1:7" ht="64.5" customHeight="1">
      <c r="A295" s="162"/>
      <c r="B295" s="64"/>
      <c r="C295" s="64"/>
      <c r="D295" s="499" t="s">
        <v>395</v>
      </c>
      <c r="E295" s="499"/>
      <c r="F295" s="92">
        <f>F296+F299</f>
        <v>6000</v>
      </c>
      <c r="G295" s="92">
        <f>G296+G299</f>
        <v>6000</v>
      </c>
    </row>
    <row r="296" spans="1:7" ht="27" customHeight="1">
      <c r="A296" s="162"/>
      <c r="B296" s="64"/>
      <c r="C296" s="119">
        <v>2810</v>
      </c>
      <c r="D296" s="119" t="s">
        <v>389</v>
      </c>
      <c r="E296" s="119"/>
      <c r="F296" s="90">
        <v>3000</v>
      </c>
      <c r="G296" s="59">
        <v>3000</v>
      </c>
    </row>
    <row r="297" spans="1:7" ht="20.25" customHeight="1">
      <c r="A297" s="162"/>
      <c r="B297" s="64"/>
      <c r="C297" s="590"/>
      <c r="D297" s="745" t="s">
        <v>12</v>
      </c>
      <c r="E297" s="140"/>
      <c r="F297" s="591">
        <v>3000</v>
      </c>
      <c r="G297" s="589"/>
    </row>
    <row r="298" spans="1:7" ht="17.25" customHeight="1">
      <c r="A298" s="162"/>
      <c r="B298" s="64"/>
      <c r="C298" s="128"/>
      <c r="D298" s="744" t="s">
        <v>392</v>
      </c>
      <c r="E298" s="599"/>
      <c r="F298" s="594"/>
      <c r="G298" s="607">
        <v>3000</v>
      </c>
    </row>
    <row r="299" spans="1:7" ht="24.75" customHeight="1">
      <c r="A299" s="162"/>
      <c r="B299" s="64"/>
      <c r="C299" s="119">
        <v>2820</v>
      </c>
      <c r="D299" s="128" t="s">
        <v>387</v>
      </c>
      <c r="E299" s="128"/>
      <c r="F299" s="123">
        <v>3000</v>
      </c>
      <c r="G299" s="509">
        <v>3000</v>
      </c>
    </row>
    <row r="300" spans="1:7" ht="19.5" customHeight="1">
      <c r="A300" s="166"/>
      <c r="B300" s="85"/>
      <c r="C300" s="119"/>
      <c r="D300" s="648" t="s">
        <v>12</v>
      </c>
      <c r="E300" s="648"/>
      <c r="F300" s="124">
        <v>3000</v>
      </c>
      <c r="G300" s="649"/>
    </row>
    <row r="301" spans="1:7" ht="24.75" customHeight="1">
      <c r="A301" s="162"/>
      <c r="B301" s="64"/>
      <c r="C301" s="128"/>
      <c r="D301" s="140" t="s">
        <v>150</v>
      </c>
      <c r="E301" s="140"/>
      <c r="F301" s="591"/>
      <c r="G301" s="589">
        <v>1000</v>
      </c>
    </row>
    <row r="302" spans="1:7" ht="24.75" customHeight="1">
      <c r="A302" s="162"/>
      <c r="B302" s="64"/>
      <c r="C302" s="128"/>
      <c r="D302" s="599" t="s">
        <v>396</v>
      </c>
      <c r="E302" s="599"/>
      <c r="F302" s="133"/>
      <c r="G302" s="607">
        <v>2000</v>
      </c>
    </row>
    <row r="303" spans="1:7" ht="27" customHeight="1">
      <c r="A303" s="162"/>
      <c r="B303" s="64"/>
      <c r="C303" s="64"/>
      <c r="D303" s="499" t="s">
        <v>121</v>
      </c>
      <c r="E303" s="499"/>
      <c r="F303" s="92">
        <f>F304+F307</f>
        <v>18000</v>
      </c>
      <c r="G303" s="92">
        <f>G304+G307</f>
        <v>18000</v>
      </c>
    </row>
    <row r="304" spans="1:7" ht="27" customHeight="1">
      <c r="A304" s="162"/>
      <c r="B304" s="64"/>
      <c r="C304" s="119">
        <v>2810</v>
      </c>
      <c r="D304" s="119" t="s">
        <v>389</v>
      </c>
      <c r="E304" s="119"/>
      <c r="F304" s="90">
        <v>2000</v>
      </c>
      <c r="G304" s="59">
        <v>2000</v>
      </c>
    </row>
    <row r="305" spans="1:7" ht="21" customHeight="1">
      <c r="A305" s="162"/>
      <c r="B305" s="64"/>
      <c r="C305" s="590"/>
      <c r="D305" s="745" t="s">
        <v>12</v>
      </c>
      <c r="E305" s="140"/>
      <c r="F305" s="591">
        <v>2000</v>
      </c>
      <c r="G305" s="589"/>
    </row>
    <row r="306" spans="1:7" ht="21" customHeight="1">
      <c r="A306" s="162"/>
      <c r="B306" s="64"/>
      <c r="C306" s="128"/>
      <c r="D306" s="744" t="s">
        <v>392</v>
      </c>
      <c r="E306" s="599"/>
      <c r="F306" s="133"/>
      <c r="G306" s="607">
        <v>2000</v>
      </c>
    </row>
    <row r="307" spans="1:7" ht="27" customHeight="1">
      <c r="A307" s="162"/>
      <c r="B307" s="64"/>
      <c r="C307" s="119">
        <v>2820</v>
      </c>
      <c r="D307" s="119" t="s">
        <v>387</v>
      </c>
      <c r="E307" s="119"/>
      <c r="F307" s="75">
        <v>16000</v>
      </c>
      <c r="G307" s="59">
        <v>16000</v>
      </c>
    </row>
    <row r="308" spans="1:7" ht="20.25" customHeight="1">
      <c r="A308" s="162"/>
      <c r="B308" s="64"/>
      <c r="C308" s="128"/>
      <c r="D308" s="140" t="s">
        <v>12</v>
      </c>
      <c r="E308" s="140"/>
      <c r="F308" s="591">
        <v>16000</v>
      </c>
      <c r="G308" s="589"/>
    </row>
    <row r="309" spans="1:7" ht="27" customHeight="1">
      <c r="A309" s="162"/>
      <c r="B309" s="64"/>
      <c r="C309" s="128"/>
      <c r="D309" s="599" t="s">
        <v>397</v>
      </c>
      <c r="E309" s="599"/>
      <c r="F309" s="594"/>
      <c r="G309" s="607">
        <v>3000</v>
      </c>
    </row>
    <row r="310" spans="1:7" ht="27" customHeight="1">
      <c r="A310" s="162"/>
      <c r="B310" s="64"/>
      <c r="C310" s="128"/>
      <c r="D310" s="498" t="s">
        <v>135</v>
      </c>
      <c r="E310" s="498"/>
      <c r="F310" s="583"/>
      <c r="G310" s="493">
        <v>2000</v>
      </c>
    </row>
    <row r="311" spans="1:7" ht="21" customHeight="1">
      <c r="A311" s="162"/>
      <c r="B311" s="64"/>
      <c r="C311" s="128"/>
      <c r="D311" s="498" t="s">
        <v>126</v>
      </c>
      <c r="E311" s="498"/>
      <c r="F311" s="583"/>
      <c r="G311" s="493">
        <v>3000</v>
      </c>
    </row>
    <row r="312" spans="1:7" ht="27" customHeight="1">
      <c r="A312" s="162"/>
      <c r="B312" s="64"/>
      <c r="C312" s="128"/>
      <c r="D312" s="498" t="s">
        <v>127</v>
      </c>
      <c r="E312" s="498"/>
      <c r="F312" s="583"/>
      <c r="G312" s="493">
        <v>2000</v>
      </c>
    </row>
    <row r="313" spans="1:7" ht="27" customHeight="1">
      <c r="A313" s="162"/>
      <c r="B313" s="64"/>
      <c r="C313" s="128"/>
      <c r="D313" s="498" t="s">
        <v>150</v>
      </c>
      <c r="E313" s="498"/>
      <c r="F313" s="583"/>
      <c r="G313" s="493">
        <v>3500</v>
      </c>
    </row>
    <row r="314" spans="1:7" ht="27" customHeight="1">
      <c r="A314" s="162"/>
      <c r="B314" s="64"/>
      <c r="C314" s="128"/>
      <c r="D314" s="498" t="s">
        <v>129</v>
      </c>
      <c r="E314" s="498"/>
      <c r="F314" s="583"/>
      <c r="G314" s="493">
        <v>2500</v>
      </c>
    </row>
    <row r="315" spans="1:7" ht="21" customHeight="1">
      <c r="A315" s="162"/>
      <c r="B315" s="64"/>
      <c r="C315" s="64"/>
      <c r="D315" s="499" t="s">
        <v>122</v>
      </c>
      <c r="E315" s="499"/>
      <c r="F315" s="92">
        <f>F316+F320</f>
        <v>12000</v>
      </c>
      <c r="G315" s="92">
        <f>G316+G320</f>
        <v>12000</v>
      </c>
    </row>
    <row r="316" spans="1:7" ht="27" customHeight="1">
      <c r="A316" s="162"/>
      <c r="B316" s="64"/>
      <c r="C316" s="119">
        <v>2810</v>
      </c>
      <c r="D316" s="119" t="s">
        <v>389</v>
      </c>
      <c r="E316" s="119"/>
      <c r="F316" s="90">
        <v>2000</v>
      </c>
      <c r="G316" s="59">
        <v>2000</v>
      </c>
    </row>
    <row r="317" spans="1:7" ht="21" customHeight="1">
      <c r="A317" s="162"/>
      <c r="B317" s="64"/>
      <c r="C317" s="128"/>
      <c r="D317" s="140" t="s">
        <v>12</v>
      </c>
      <c r="E317" s="140"/>
      <c r="F317" s="591">
        <v>2000</v>
      </c>
      <c r="G317" s="589"/>
    </row>
    <row r="318" spans="1:7" ht="27" customHeight="1">
      <c r="A318" s="162"/>
      <c r="B318" s="64"/>
      <c r="C318" s="128"/>
      <c r="D318" s="746" t="s">
        <v>134</v>
      </c>
      <c r="E318" s="128"/>
      <c r="F318" s="123"/>
      <c r="G318" s="509">
        <v>600</v>
      </c>
    </row>
    <row r="319" spans="1:7" ht="21" customHeight="1">
      <c r="A319" s="162"/>
      <c r="B319" s="64"/>
      <c r="C319" s="128"/>
      <c r="D319" s="600" t="s">
        <v>392</v>
      </c>
      <c r="E319" s="498"/>
      <c r="F319" s="492"/>
      <c r="G319" s="493">
        <v>1400</v>
      </c>
    </row>
    <row r="320" spans="1:7" ht="27" customHeight="1">
      <c r="A320" s="162"/>
      <c r="B320" s="64"/>
      <c r="C320" s="119">
        <v>2820</v>
      </c>
      <c r="D320" s="119" t="s">
        <v>387</v>
      </c>
      <c r="E320" s="119"/>
      <c r="F320" s="75">
        <v>10000</v>
      </c>
      <c r="G320" s="59">
        <v>10000</v>
      </c>
    </row>
    <row r="321" spans="1:7" ht="20.25" customHeight="1">
      <c r="A321" s="162"/>
      <c r="B321" s="64"/>
      <c r="C321" s="128"/>
      <c r="D321" s="140" t="s">
        <v>12</v>
      </c>
      <c r="E321" s="140"/>
      <c r="F321" s="591">
        <v>10000</v>
      </c>
      <c r="G321" s="589"/>
    </row>
    <row r="322" spans="1:7" ht="21" customHeight="1">
      <c r="A322" s="166"/>
      <c r="B322" s="85"/>
      <c r="C322" s="119"/>
      <c r="D322" s="119" t="s">
        <v>398</v>
      </c>
      <c r="E322" s="119"/>
      <c r="F322" s="75"/>
      <c r="G322" s="59">
        <v>1000</v>
      </c>
    </row>
    <row r="323" spans="1:7" ht="27" customHeight="1">
      <c r="A323" s="162"/>
      <c r="B323" s="64"/>
      <c r="C323" s="128"/>
      <c r="D323" s="599" t="s">
        <v>26</v>
      </c>
      <c r="E323" s="599"/>
      <c r="F323" s="133"/>
      <c r="G323" s="607">
        <v>1000</v>
      </c>
    </row>
    <row r="324" spans="1:7" ht="20.25" customHeight="1">
      <c r="A324" s="162"/>
      <c r="B324" s="64"/>
      <c r="C324" s="128"/>
      <c r="D324" s="498" t="s">
        <v>399</v>
      </c>
      <c r="E324" s="498"/>
      <c r="F324" s="492"/>
      <c r="G324" s="493">
        <v>1500</v>
      </c>
    </row>
    <row r="325" spans="1:7" ht="27" customHeight="1">
      <c r="A325" s="162"/>
      <c r="B325" s="64"/>
      <c r="C325" s="128"/>
      <c r="D325" s="498" t="s">
        <v>25</v>
      </c>
      <c r="E325" s="498"/>
      <c r="F325" s="492"/>
      <c r="G325" s="493">
        <v>2000</v>
      </c>
    </row>
    <row r="326" spans="1:7" ht="27" customHeight="1">
      <c r="A326" s="162"/>
      <c r="B326" s="64"/>
      <c r="C326" s="128"/>
      <c r="D326" s="498" t="s">
        <v>400</v>
      </c>
      <c r="E326" s="498"/>
      <c r="F326" s="492"/>
      <c r="G326" s="493">
        <v>1500</v>
      </c>
    </row>
    <row r="327" spans="1:7" ht="27" customHeight="1">
      <c r="A327" s="162"/>
      <c r="B327" s="64"/>
      <c r="C327" s="128"/>
      <c r="D327" s="599" t="s">
        <v>142</v>
      </c>
      <c r="E327" s="599"/>
      <c r="F327" s="133"/>
      <c r="G327" s="607">
        <v>1000</v>
      </c>
    </row>
    <row r="328" spans="1:7" ht="29.25" customHeight="1">
      <c r="A328" s="162"/>
      <c r="B328" s="64"/>
      <c r="C328" s="128"/>
      <c r="D328" s="599" t="s">
        <v>150</v>
      </c>
      <c r="E328" s="599"/>
      <c r="F328" s="133"/>
      <c r="G328" s="607">
        <v>2000</v>
      </c>
    </row>
    <row r="329" spans="1:7" ht="27.75" customHeight="1">
      <c r="A329" s="162"/>
      <c r="B329" s="64"/>
      <c r="C329" s="64"/>
      <c r="D329" s="499" t="s">
        <v>123</v>
      </c>
      <c r="E329" s="499"/>
      <c r="F329" s="92">
        <f>F330</f>
        <v>10000</v>
      </c>
      <c r="G329" s="230">
        <f>SUM(G332:G335)</f>
        <v>10000</v>
      </c>
    </row>
    <row r="330" spans="1:7" ht="27.75" customHeight="1">
      <c r="A330" s="162"/>
      <c r="B330" s="64"/>
      <c r="C330" s="119">
        <v>2820</v>
      </c>
      <c r="D330" s="119" t="s">
        <v>387</v>
      </c>
      <c r="E330" s="119"/>
      <c r="F330" s="90">
        <v>10000</v>
      </c>
      <c r="G330" s="59">
        <v>10000</v>
      </c>
    </row>
    <row r="331" spans="1:7" ht="21" customHeight="1">
      <c r="A331" s="162"/>
      <c r="B331" s="64"/>
      <c r="C331" s="128"/>
      <c r="D331" s="128" t="s">
        <v>12</v>
      </c>
      <c r="E331" s="128"/>
      <c r="F331" s="123">
        <v>10000</v>
      </c>
      <c r="G331" s="509"/>
    </row>
    <row r="332" spans="1:7" ht="27.75" customHeight="1">
      <c r="A332" s="162"/>
      <c r="B332" s="64"/>
      <c r="C332" s="128"/>
      <c r="D332" s="498" t="s">
        <v>129</v>
      </c>
      <c r="E332" s="498"/>
      <c r="F332" s="492"/>
      <c r="G332" s="493">
        <v>2000</v>
      </c>
    </row>
    <row r="333" spans="1:7" ht="27.75" customHeight="1">
      <c r="A333" s="162"/>
      <c r="B333" s="64"/>
      <c r="C333" s="128"/>
      <c r="D333" s="498" t="s">
        <v>137</v>
      </c>
      <c r="E333" s="498"/>
      <c r="F333" s="492"/>
      <c r="G333" s="493">
        <v>3000</v>
      </c>
    </row>
    <row r="334" spans="1:7" ht="27.75" customHeight="1">
      <c r="A334" s="162"/>
      <c r="B334" s="64"/>
      <c r="C334" s="128"/>
      <c r="D334" s="498" t="s">
        <v>150</v>
      </c>
      <c r="E334" s="498"/>
      <c r="F334" s="492"/>
      <c r="G334" s="493">
        <v>1000</v>
      </c>
    </row>
    <row r="335" spans="1:7" ht="27.75" customHeight="1">
      <c r="A335" s="162"/>
      <c r="B335" s="64"/>
      <c r="C335" s="128"/>
      <c r="D335" s="498" t="s">
        <v>131</v>
      </c>
      <c r="E335" s="498"/>
      <c r="F335" s="492"/>
      <c r="G335" s="493">
        <v>4000</v>
      </c>
    </row>
    <row r="336" spans="1:7" ht="27.75" customHeight="1">
      <c r="A336" s="162"/>
      <c r="B336" s="64"/>
      <c r="C336" s="64"/>
      <c r="D336" s="499" t="s">
        <v>124</v>
      </c>
      <c r="E336" s="499"/>
      <c r="F336" s="92">
        <f>F337</f>
        <v>118800</v>
      </c>
      <c r="G336" s="230"/>
    </row>
    <row r="337" spans="1:7" ht="21.75" customHeight="1">
      <c r="A337" s="162"/>
      <c r="B337" s="64"/>
      <c r="C337" s="119">
        <v>4300</v>
      </c>
      <c r="D337" s="119" t="s">
        <v>262</v>
      </c>
      <c r="E337" s="119"/>
      <c r="F337" s="90">
        <v>118800</v>
      </c>
      <c r="G337" s="59"/>
    </row>
    <row r="338" spans="1:7" ht="21" customHeight="1">
      <c r="A338" s="67">
        <v>853</v>
      </c>
      <c r="B338" s="67"/>
      <c r="C338" s="72"/>
      <c r="D338" s="72" t="s">
        <v>229</v>
      </c>
      <c r="E338" s="72"/>
      <c r="F338" s="73"/>
      <c r="G338" s="73">
        <f>G339</f>
        <v>427489</v>
      </c>
    </row>
    <row r="339" spans="1:7" ht="21" customHeight="1">
      <c r="A339" s="162"/>
      <c r="B339" s="62">
        <v>85315</v>
      </c>
      <c r="C339" s="62"/>
      <c r="D339" s="62" t="s">
        <v>234</v>
      </c>
      <c r="E339" s="74"/>
      <c r="F339" s="74"/>
      <c r="G339" s="74">
        <f>G340</f>
        <v>427489</v>
      </c>
    </row>
    <row r="340" spans="1:7" ht="21" customHeight="1">
      <c r="A340" s="162"/>
      <c r="B340" s="64"/>
      <c r="C340" s="64"/>
      <c r="D340" s="121" t="s">
        <v>212</v>
      </c>
      <c r="E340" s="76"/>
      <c r="F340" s="76"/>
      <c r="G340" s="76">
        <f>G342</f>
        <v>427489</v>
      </c>
    </row>
    <row r="341" spans="1:7" ht="21" customHeight="1">
      <c r="A341" s="162"/>
      <c r="B341" s="64"/>
      <c r="C341" s="64"/>
      <c r="D341" s="142" t="s">
        <v>213</v>
      </c>
      <c r="E341" s="133"/>
      <c r="F341" s="133"/>
      <c r="G341" s="133"/>
    </row>
    <row r="342" spans="1:7" ht="21" customHeight="1">
      <c r="A342" s="162"/>
      <c r="B342" s="64"/>
      <c r="C342" s="63">
        <v>3110</v>
      </c>
      <c r="D342" s="63" t="s">
        <v>211</v>
      </c>
      <c r="E342" s="75"/>
      <c r="F342" s="75"/>
      <c r="G342" s="75">
        <v>427489</v>
      </c>
    </row>
    <row r="343" spans="1:7" ht="21" customHeight="1">
      <c r="A343" s="67">
        <v>921</v>
      </c>
      <c r="B343" s="67"/>
      <c r="C343" s="72"/>
      <c r="D343" s="72" t="s">
        <v>357</v>
      </c>
      <c r="E343" s="72"/>
      <c r="F343" s="73">
        <f>F344</f>
        <v>25000</v>
      </c>
      <c r="G343" s="73">
        <f>G344</f>
        <v>25000</v>
      </c>
    </row>
    <row r="344" spans="1:7" ht="21" customHeight="1">
      <c r="A344" s="747"/>
      <c r="B344" s="71">
        <v>92110</v>
      </c>
      <c r="C344" s="71"/>
      <c r="D344" s="71" t="s">
        <v>374</v>
      </c>
      <c r="E344" s="77"/>
      <c r="F344" s="77">
        <f>F345</f>
        <v>25000</v>
      </c>
      <c r="G344" s="77">
        <f>G345</f>
        <v>25000</v>
      </c>
    </row>
    <row r="345" spans="1:7" ht="21" customHeight="1">
      <c r="A345" s="162"/>
      <c r="B345" s="64"/>
      <c r="C345" s="64"/>
      <c r="D345" s="126" t="s">
        <v>7</v>
      </c>
      <c r="E345" s="92"/>
      <c r="F345" s="92">
        <f>F348</f>
        <v>25000</v>
      </c>
      <c r="G345" s="92">
        <f>G347</f>
        <v>25000</v>
      </c>
    </row>
    <row r="346" spans="1:7" ht="21" customHeight="1">
      <c r="A346" s="162"/>
      <c r="B346" s="64"/>
      <c r="C346" s="64"/>
      <c r="D346" s="142" t="s">
        <v>375</v>
      </c>
      <c r="E346" s="133"/>
      <c r="F346" s="133"/>
      <c r="G346" s="133">
        <v>15000</v>
      </c>
    </row>
    <row r="347" spans="1:7" ht="21" customHeight="1">
      <c r="A347" s="162"/>
      <c r="B347" s="64"/>
      <c r="C347" s="63">
        <v>2550</v>
      </c>
      <c r="D347" s="63" t="s">
        <v>376</v>
      </c>
      <c r="E347" s="75"/>
      <c r="F347" s="75"/>
      <c r="G347" s="75">
        <v>25000</v>
      </c>
    </row>
    <row r="348" spans="1:7" ht="21" customHeight="1">
      <c r="A348" s="162"/>
      <c r="B348" s="64"/>
      <c r="C348" s="64"/>
      <c r="D348" s="142" t="s">
        <v>266</v>
      </c>
      <c r="E348" s="133"/>
      <c r="F348" s="133">
        <f>F349</f>
        <v>25000</v>
      </c>
      <c r="G348" s="133"/>
    </row>
    <row r="349" spans="1:7" ht="42.75" customHeight="1">
      <c r="A349" s="162"/>
      <c r="B349" s="64"/>
      <c r="C349" s="63">
        <v>6220</v>
      </c>
      <c r="D349" s="119" t="s">
        <v>377</v>
      </c>
      <c r="E349" s="75"/>
      <c r="F349" s="75">
        <v>25000</v>
      </c>
      <c r="G349" s="75"/>
    </row>
    <row r="350" spans="1:7" ht="21" customHeight="1">
      <c r="A350" s="162"/>
      <c r="B350" s="162"/>
      <c r="C350" s="162"/>
      <c r="D350" s="164" t="s">
        <v>373</v>
      </c>
      <c r="E350" s="164"/>
      <c r="F350" s="168">
        <f>F351</f>
        <v>550126</v>
      </c>
      <c r="G350" s="168">
        <f>+G351</f>
        <v>500000</v>
      </c>
    </row>
    <row r="351" spans="1:7" ht="20.25" customHeight="1" thickBot="1">
      <c r="A351" s="166"/>
      <c r="B351" s="166"/>
      <c r="C351" s="166"/>
      <c r="D351" s="459" t="s">
        <v>261</v>
      </c>
      <c r="E351" s="461"/>
      <c r="F351" s="460">
        <f>F352+F360</f>
        <v>550126</v>
      </c>
      <c r="G351" s="460">
        <f>+G360</f>
        <v>500000</v>
      </c>
    </row>
    <row r="352" spans="1:7" ht="18" customHeight="1" thickTop="1">
      <c r="A352" s="72">
        <v>750</v>
      </c>
      <c r="B352" s="72"/>
      <c r="C352" s="72"/>
      <c r="D352" s="72" t="s">
        <v>294</v>
      </c>
      <c r="E352" s="73"/>
      <c r="F352" s="73">
        <f>F353</f>
        <v>50126</v>
      </c>
      <c r="G352" s="73"/>
    </row>
    <row r="353" spans="1:8" ht="18" customHeight="1">
      <c r="A353" s="64"/>
      <c r="B353" s="71">
        <v>75095</v>
      </c>
      <c r="C353" s="71"/>
      <c r="D353" s="71" t="s">
        <v>225</v>
      </c>
      <c r="E353" s="77"/>
      <c r="F353" s="77">
        <f>F354</f>
        <v>50126</v>
      </c>
      <c r="G353" s="77"/>
      <c r="H353" s="82">
        <f>G353-F353</f>
        <v>-50126</v>
      </c>
    </row>
    <row r="354" spans="1:7" ht="18" customHeight="1">
      <c r="A354" s="64"/>
      <c r="B354" s="64"/>
      <c r="C354" s="64"/>
      <c r="D354" s="126" t="s">
        <v>161</v>
      </c>
      <c r="E354" s="92"/>
      <c r="F354" s="92">
        <f>F355</f>
        <v>50126</v>
      </c>
      <c r="G354" s="92"/>
    </row>
    <row r="355" spans="1:7" ht="18" customHeight="1">
      <c r="A355" s="111"/>
      <c r="B355" s="111"/>
      <c r="C355" s="111"/>
      <c r="D355" s="491" t="s">
        <v>162</v>
      </c>
      <c r="E355" s="494"/>
      <c r="F355" s="494">
        <f>SUM(F356:F359)</f>
        <v>50126</v>
      </c>
      <c r="G355" s="494"/>
    </row>
    <row r="356" spans="1:7" ht="18" customHeight="1">
      <c r="A356" s="111"/>
      <c r="B356" s="111"/>
      <c r="C356" s="63">
        <v>4210</v>
      </c>
      <c r="D356" s="129" t="s">
        <v>270</v>
      </c>
      <c r="E356" s="489"/>
      <c r="F356" s="489">
        <v>2020</v>
      </c>
      <c r="G356" s="489"/>
    </row>
    <row r="357" spans="1:7" ht="18" customHeight="1">
      <c r="A357" s="111"/>
      <c r="B357" s="111"/>
      <c r="C357" s="63">
        <v>4300</v>
      </c>
      <c r="D357" s="129" t="s">
        <v>262</v>
      </c>
      <c r="E357" s="489"/>
      <c r="F357" s="489">
        <v>39436</v>
      </c>
      <c r="G357" s="489"/>
    </row>
    <row r="358" spans="1:7" ht="18" customHeight="1">
      <c r="A358" s="111"/>
      <c r="B358" s="111"/>
      <c r="C358" s="63">
        <v>4410</v>
      </c>
      <c r="D358" s="129" t="s">
        <v>271</v>
      </c>
      <c r="E358" s="489"/>
      <c r="F358" s="489">
        <v>2500</v>
      </c>
      <c r="G358" s="489"/>
    </row>
    <row r="359" spans="1:7" ht="18" customHeight="1">
      <c r="A359" s="111"/>
      <c r="B359" s="111"/>
      <c r="C359" s="63">
        <v>4420</v>
      </c>
      <c r="D359" s="129" t="s">
        <v>272</v>
      </c>
      <c r="E359" s="489"/>
      <c r="F359" s="489">
        <v>6170</v>
      </c>
      <c r="G359" s="489"/>
    </row>
    <row r="360" spans="1:7" ht="18" customHeight="1">
      <c r="A360" s="67">
        <v>801</v>
      </c>
      <c r="B360" s="67"/>
      <c r="C360" s="72"/>
      <c r="D360" s="72" t="s">
        <v>437</v>
      </c>
      <c r="E360" s="73"/>
      <c r="F360" s="73">
        <f>F361</f>
        <v>500000</v>
      </c>
      <c r="G360" s="73">
        <f>G361</f>
        <v>500000</v>
      </c>
    </row>
    <row r="361" spans="1:8" ht="18" customHeight="1">
      <c r="A361" s="64"/>
      <c r="B361" s="71">
        <v>80101</v>
      </c>
      <c r="C361" s="71"/>
      <c r="D361" s="71" t="s">
        <v>227</v>
      </c>
      <c r="E361" s="77"/>
      <c r="F361" s="77">
        <f>F362</f>
        <v>500000</v>
      </c>
      <c r="G361" s="77">
        <f>G362</f>
        <v>500000</v>
      </c>
      <c r="H361" s="82">
        <f>G361-F361</f>
        <v>0</v>
      </c>
    </row>
    <row r="362" spans="1:7" ht="18" customHeight="1">
      <c r="A362" s="64"/>
      <c r="B362" s="64"/>
      <c r="C362" s="64"/>
      <c r="D362" s="126" t="s">
        <v>120</v>
      </c>
      <c r="E362" s="92"/>
      <c r="F362" s="222">
        <f>F363</f>
        <v>500000</v>
      </c>
      <c r="G362" s="92">
        <f>G364</f>
        <v>500000</v>
      </c>
    </row>
    <row r="363" spans="1:7" ht="18" customHeight="1">
      <c r="A363" s="111"/>
      <c r="B363" s="111"/>
      <c r="C363" s="61"/>
      <c r="D363" s="620" t="s">
        <v>435</v>
      </c>
      <c r="E363" s="621"/>
      <c r="F363" s="468">
        <v>500000</v>
      </c>
      <c r="G363" s="621"/>
    </row>
    <row r="364" spans="1:7" ht="18" customHeight="1">
      <c r="A364" s="111"/>
      <c r="B364" s="111"/>
      <c r="C364" s="61"/>
      <c r="D364" s="622" t="s">
        <v>436</v>
      </c>
      <c r="E364" s="623"/>
      <c r="F364" s="624"/>
      <c r="G364" s="623">
        <v>500000</v>
      </c>
    </row>
    <row r="365" spans="1:7" ht="18" customHeight="1">
      <c r="A365" s="111"/>
      <c r="B365" s="111"/>
      <c r="C365" s="63">
        <v>6050</v>
      </c>
      <c r="D365" s="129" t="s">
        <v>263</v>
      </c>
      <c r="E365" s="489"/>
      <c r="F365" s="489">
        <f>F363</f>
        <v>500000</v>
      </c>
      <c r="G365" s="489">
        <f>G364</f>
        <v>500000</v>
      </c>
    </row>
    <row r="366" spans="1:7" ht="33.75" customHeight="1">
      <c r="A366" s="162"/>
      <c r="B366" s="162"/>
      <c r="C366" s="162"/>
      <c r="D366" s="163" t="s">
        <v>27</v>
      </c>
      <c r="E366" s="164"/>
      <c r="F366" s="168">
        <f aca="true" t="shared" si="0" ref="F366:G369">F367</f>
        <v>271</v>
      </c>
      <c r="G366" s="168">
        <f t="shared" si="0"/>
        <v>271</v>
      </c>
    </row>
    <row r="367" spans="1:7" ht="21" customHeight="1" thickBot="1">
      <c r="A367" s="166"/>
      <c r="B367" s="166"/>
      <c r="C367" s="166"/>
      <c r="D367" s="459" t="s">
        <v>261</v>
      </c>
      <c r="E367" s="461"/>
      <c r="F367" s="460">
        <f t="shared" si="0"/>
        <v>271</v>
      </c>
      <c r="G367" s="460">
        <f t="shared" si="0"/>
        <v>271</v>
      </c>
    </row>
    <row r="368" spans="1:7" ht="19.5" customHeight="1" thickTop="1">
      <c r="A368" s="72">
        <v>754</v>
      </c>
      <c r="B368" s="72"/>
      <c r="C368" s="72"/>
      <c r="D368" s="72" t="s">
        <v>314</v>
      </c>
      <c r="E368" s="73"/>
      <c r="F368" s="73">
        <f t="shared" si="0"/>
        <v>271</v>
      </c>
      <c r="G368" s="73">
        <f t="shared" si="0"/>
        <v>271</v>
      </c>
    </row>
    <row r="369" spans="1:7" ht="19.5" customHeight="1">
      <c r="A369" s="64"/>
      <c r="B369" s="71">
        <v>75412</v>
      </c>
      <c r="C369" s="71"/>
      <c r="D369" s="71" t="s">
        <v>163</v>
      </c>
      <c r="E369" s="77"/>
      <c r="F369" s="77">
        <f t="shared" si="0"/>
        <v>271</v>
      </c>
      <c r="G369" s="77">
        <f t="shared" si="0"/>
        <v>271</v>
      </c>
    </row>
    <row r="370" spans="1:7" ht="27" customHeight="1">
      <c r="A370" s="85"/>
      <c r="B370" s="275"/>
      <c r="C370" s="275"/>
      <c r="D370" s="287" t="s">
        <v>165</v>
      </c>
      <c r="E370" s="258"/>
      <c r="F370" s="258">
        <f>F371</f>
        <v>271</v>
      </c>
      <c r="G370" s="258">
        <f>G372</f>
        <v>271</v>
      </c>
    </row>
    <row r="371" spans="1:7" ht="21.75" customHeight="1">
      <c r="A371" s="64"/>
      <c r="B371" s="64"/>
      <c r="C371" s="63">
        <v>3030</v>
      </c>
      <c r="D371" s="63" t="s">
        <v>173</v>
      </c>
      <c r="E371" s="75"/>
      <c r="F371" s="75">
        <v>271</v>
      </c>
      <c r="G371" s="75"/>
    </row>
    <row r="372" spans="1:7" ht="21.75" customHeight="1">
      <c r="A372" s="64"/>
      <c r="B372" s="64"/>
      <c r="C372" s="125">
        <v>4430</v>
      </c>
      <c r="D372" s="130" t="s">
        <v>278</v>
      </c>
      <c r="E372" s="75"/>
      <c r="F372" s="75"/>
      <c r="G372" s="75">
        <v>271</v>
      </c>
    </row>
    <row r="373" spans="1:7" ht="24" customHeight="1">
      <c r="A373" s="162"/>
      <c r="B373" s="162"/>
      <c r="C373" s="162"/>
      <c r="D373" s="163" t="s">
        <v>166</v>
      </c>
      <c r="E373" s="164"/>
      <c r="F373" s="168">
        <f aca="true" t="shared" si="1" ref="F373:G375">F374</f>
        <v>46145</v>
      </c>
      <c r="G373" s="168">
        <f t="shared" si="1"/>
        <v>46145</v>
      </c>
    </row>
    <row r="374" spans="1:7" ht="20.25" customHeight="1" thickBot="1">
      <c r="A374" s="166"/>
      <c r="B374" s="166"/>
      <c r="C374" s="166"/>
      <c r="D374" s="459" t="s">
        <v>261</v>
      </c>
      <c r="E374" s="461"/>
      <c r="F374" s="460">
        <f t="shared" si="1"/>
        <v>46145</v>
      </c>
      <c r="G374" s="460">
        <f t="shared" si="1"/>
        <v>46145</v>
      </c>
    </row>
    <row r="375" spans="1:7" ht="19.5" customHeight="1" thickTop="1">
      <c r="A375" s="72">
        <v>754</v>
      </c>
      <c r="B375" s="72"/>
      <c r="C375" s="72"/>
      <c r="D375" s="72" t="s">
        <v>314</v>
      </c>
      <c r="E375" s="73"/>
      <c r="F375" s="73">
        <f t="shared" si="1"/>
        <v>46145</v>
      </c>
      <c r="G375" s="73">
        <f t="shared" si="1"/>
        <v>46145</v>
      </c>
    </row>
    <row r="376" spans="1:7" ht="19.5" customHeight="1">
      <c r="A376" s="64"/>
      <c r="B376" s="71">
        <v>75416</v>
      </c>
      <c r="C376" s="71"/>
      <c r="D376" s="71" t="s">
        <v>164</v>
      </c>
      <c r="E376" s="77"/>
      <c r="F376" s="77">
        <f>F377+F380+F385</f>
        <v>46145</v>
      </c>
      <c r="G376" s="77">
        <f>G377+G380+G385</f>
        <v>46145</v>
      </c>
    </row>
    <row r="377" spans="1:7" ht="19.5" customHeight="1">
      <c r="A377" s="64"/>
      <c r="B377" s="65"/>
      <c r="C377" s="65"/>
      <c r="D377" s="121" t="s">
        <v>273</v>
      </c>
      <c r="E377" s="76"/>
      <c r="F377" s="76">
        <f>F378</f>
        <v>8645</v>
      </c>
      <c r="G377" s="76">
        <f>G379</f>
        <v>8645</v>
      </c>
    </row>
    <row r="378" spans="1:7" ht="19.5" customHeight="1">
      <c r="A378" s="64"/>
      <c r="B378" s="64"/>
      <c r="C378" s="63">
        <v>4010</v>
      </c>
      <c r="D378" s="495" t="s">
        <v>274</v>
      </c>
      <c r="E378" s="75"/>
      <c r="F378" s="75">
        <v>8645</v>
      </c>
      <c r="G378" s="75"/>
    </row>
    <row r="379" spans="1:7" ht="19.5" customHeight="1">
      <c r="A379" s="64"/>
      <c r="B379" s="64"/>
      <c r="C379" s="63">
        <v>4040</v>
      </c>
      <c r="D379" s="495" t="s">
        <v>275</v>
      </c>
      <c r="E379" s="75"/>
      <c r="F379" s="75"/>
      <c r="G379" s="75">
        <v>8645</v>
      </c>
    </row>
    <row r="380" spans="1:7" ht="19.5" customHeight="1">
      <c r="A380" s="64"/>
      <c r="B380" s="64"/>
      <c r="C380" s="64"/>
      <c r="D380" s="126" t="s">
        <v>276</v>
      </c>
      <c r="E380" s="92"/>
      <c r="F380" s="92">
        <f>SUM(F381:F384)</f>
        <v>37500</v>
      </c>
      <c r="G380" s="92">
        <f>SUM(G381:G384)</f>
        <v>25500</v>
      </c>
    </row>
    <row r="381" spans="1:7" ht="18" customHeight="1">
      <c r="A381" s="64"/>
      <c r="B381" s="64"/>
      <c r="C381" s="63">
        <v>3020</v>
      </c>
      <c r="D381" s="495" t="s">
        <v>277</v>
      </c>
      <c r="E381" s="75"/>
      <c r="F381" s="75"/>
      <c r="G381" s="75">
        <v>25500</v>
      </c>
    </row>
    <row r="382" spans="1:7" ht="18" customHeight="1">
      <c r="A382" s="64"/>
      <c r="B382" s="64"/>
      <c r="C382" s="63">
        <v>4210</v>
      </c>
      <c r="D382" s="495" t="s">
        <v>270</v>
      </c>
      <c r="E382" s="75"/>
      <c r="F382" s="75">
        <v>20000</v>
      </c>
      <c r="G382" s="75"/>
    </row>
    <row r="383" spans="1:7" ht="18" customHeight="1">
      <c r="A383" s="64"/>
      <c r="B383" s="64"/>
      <c r="C383" s="63">
        <v>4300</v>
      </c>
      <c r="D383" s="495" t="s">
        <v>262</v>
      </c>
      <c r="E383" s="75"/>
      <c r="F383" s="75">
        <v>12000</v>
      </c>
      <c r="G383" s="75"/>
    </row>
    <row r="384" spans="1:7" ht="18" customHeight="1">
      <c r="A384" s="64"/>
      <c r="B384" s="64"/>
      <c r="C384" s="63">
        <v>4430</v>
      </c>
      <c r="D384" s="495" t="s">
        <v>278</v>
      </c>
      <c r="E384" s="75"/>
      <c r="F384" s="75">
        <v>5500</v>
      </c>
      <c r="G384" s="75"/>
    </row>
    <row r="385" spans="1:7" ht="18" customHeight="1">
      <c r="A385" s="64"/>
      <c r="B385" s="64"/>
      <c r="C385" s="65"/>
      <c r="D385" s="121" t="s">
        <v>1</v>
      </c>
      <c r="E385" s="76"/>
      <c r="F385" s="76"/>
      <c r="G385" s="76">
        <f>G386</f>
        <v>12000</v>
      </c>
    </row>
    <row r="386" spans="1:7" ht="18" customHeight="1">
      <c r="A386" s="64"/>
      <c r="B386" s="64"/>
      <c r="C386" s="63">
        <v>6060</v>
      </c>
      <c r="D386" s="495" t="s">
        <v>267</v>
      </c>
      <c r="E386" s="75"/>
      <c r="F386" s="75"/>
      <c r="G386" s="75">
        <v>12000</v>
      </c>
    </row>
    <row r="387" spans="1:7" ht="18" customHeight="1">
      <c r="A387" s="162"/>
      <c r="B387" s="162"/>
      <c r="C387" s="162"/>
      <c r="D387" s="164" t="s">
        <v>197</v>
      </c>
      <c r="E387" s="164"/>
      <c r="F387" s="168"/>
      <c r="G387" s="168">
        <f aca="true" t="shared" si="2" ref="G387:G392">G388</f>
        <v>28000</v>
      </c>
    </row>
    <row r="388" spans="1:7" ht="18" customHeight="1" thickBot="1">
      <c r="A388" s="166"/>
      <c r="B388" s="166"/>
      <c r="C388" s="166"/>
      <c r="D388" s="459" t="s">
        <v>261</v>
      </c>
      <c r="E388" s="461"/>
      <c r="F388" s="460"/>
      <c r="G388" s="460">
        <f t="shared" si="2"/>
        <v>28000</v>
      </c>
    </row>
    <row r="389" spans="1:7" ht="18" customHeight="1" thickTop="1">
      <c r="A389" s="72">
        <v>801</v>
      </c>
      <c r="B389" s="72"/>
      <c r="C389" s="72"/>
      <c r="D389" s="72" t="s">
        <v>437</v>
      </c>
      <c r="E389" s="29"/>
      <c r="F389" s="29"/>
      <c r="G389" s="29">
        <f t="shared" si="2"/>
        <v>28000</v>
      </c>
    </row>
    <row r="390" spans="1:7" ht="18" customHeight="1">
      <c r="A390" s="64"/>
      <c r="B390" s="71">
        <v>80110</v>
      </c>
      <c r="C390" s="71"/>
      <c r="D390" s="71" t="s">
        <v>297</v>
      </c>
      <c r="E390" s="522"/>
      <c r="F390" s="522"/>
      <c r="G390" s="522">
        <f t="shared" si="2"/>
        <v>28000</v>
      </c>
    </row>
    <row r="391" spans="1:7" ht="18" customHeight="1">
      <c r="A391" s="162"/>
      <c r="B391" s="162"/>
      <c r="C391" s="64"/>
      <c r="D391" s="126" t="s">
        <v>172</v>
      </c>
      <c r="E391" s="525"/>
      <c r="F391" s="92"/>
      <c r="G391" s="92">
        <f t="shared" si="2"/>
        <v>28000</v>
      </c>
    </row>
    <row r="392" spans="1:7" ht="18" customHeight="1">
      <c r="A392" s="162"/>
      <c r="B392" s="162"/>
      <c r="C392" s="64"/>
      <c r="D392" s="556" t="s">
        <v>296</v>
      </c>
      <c r="E392" s="562"/>
      <c r="F392" s="486"/>
      <c r="G392" s="486">
        <f t="shared" si="2"/>
        <v>28000</v>
      </c>
    </row>
    <row r="393" spans="1:7" ht="18" customHeight="1">
      <c r="A393" s="64"/>
      <c r="B393" s="64"/>
      <c r="C393" s="63">
        <v>6050</v>
      </c>
      <c r="D393" s="495" t="s">
        <v>263</v>
      </c>
      <c r="E393" s="563"/>
      <c r="F393" s="134"/>
      <c r="G393" s="134">
        <v>28000</v>
      </c>
    </row>
    <row r="394" spans="1:7" ht="18" customHeight="1">
      <c r="A394" s="162"/>
      <c r="B394" s="162"/>
      <c r="C394" s="162"/>
      <c r="D394" s="164" t="s">
        <v>370</v>
      </c>
      <c r="E394" s="164"/>
      <c r="F394" s="168"/>
      <c r="G394" s="168">
        <f>G395</f>
        <v>50126</v>
      </c>
    </row>
    <row r="395" spans="1:7" ht="18.75" customHeight="1" thickBot="1">
      <c r="A395" s="166"/>
      <c r="B395" s="166"/>
      <c r="C395" s="166"/>
      <c r="D395" s="459" t="s">
        <v>261</v>
      </c>
      <c r="E395" s="461"/>
      <c r="F395" s="460"/>
      <c r="G395" s="460">
        <f>G396</f>
        <v>50126</v>
      </c>
    </row>
    <row r="396" spans="1:7" ht="18.75" customHeight="1" thickTop="1">
      <c r="A396" s="72">
        <v>750</v>
      </c>
      <c r="B396" s="72"/>
      <c r="C396" s="72"/>
      <c r="D396" s="72" t="s">
        <v>294</v>
      </c>
      <c r="E396" s="73"/>
      <c r="F396" s="73"/>
      <c r="G396" s="73">
        <f>G397</f>
        <v>50126</v>
      </c>
    </row>
    <row r="397" spans="1:7" ht="18.75" customHeight="1">
      <c r="A397" s="64"/>
      <c r="B397" s="71">
        <v>75095</v>
      </c>
      <c r="C397" s="71"/>
      <c r="D397" s="71" t="s">
        <v>225</v>
      </c>
      <c r="E397" s="77"/>
      <c r="F397" s="77"/>
      <c r="G397" s="77">
        <f>G398</f>
        <v>50126</v>
      </c>
    </row>
    <row r="398" spans="1:7" ht="18.75" customHeight="1">
      <c r="A398" s="85"/>
      <c r="B398" s="275"/>
      <c r="C398" s="275"/>
      <c r="D398" s="275" t="s">
        <v>161</v>
      </c>
      <c r="E398" s="258"/>
      <c r="F398" s="258"/>
      <c r="G398" s="258">
        <f>SUM(G399:G402)</f>
        <v>50126</v>
      </c>
    </row>
    <row r="399" spans="1:7" ht="18.75" customHeight="1">
      <c r="A399" s="64"/>
      <c r="B399" s="64"/>
      <c r="C399" s="63">
        <v>4210</v>
      </c>
      <c r="D399" s="63" t="s">
        <v>270</v>
      </c>
      <c r="E399" s="123"/>
      <c r="F399" s="123"/>
      <c r="G399" s="123">
        <v>2020</v>
      </c>
    </row>
    <row r="400" spans="1:7" ht="18.75" customHeight="1">
      <c r="A400" s="64"/>
      <c r="B400" s="64"/>
      <c r="C400" s="125">
        <v>4300</v>
      </c>
      <c r="D400" s="125" t="s">
        <v>262</v>
      </c>
      <c r="E400" s="124"/>
      <c r="F400" s="124"/>
      <c r="G400" s="124">
        <v>39436</v>
      </c>
    </row>
    <row r="401" spans="1:7" ht="18.75" customHeight="1">
      <c r="A401" s="64"/>
      <c r="B401" s="64"/>
      <c r="C401" s="61">
        <v>4410</v>
      </c>
      <c r="D401" s="61" t="s">
        <v>271</v>
      </c>
      <c r="E401" s="75"/>
      <c r="F401" s="75"/>
      <c r="G401" s="75">
        <v>2500</v>
      </c>
    </row>
    <row r="402" spans="1:7" ht="18.75" customHeight="1">
      <c r="A402" s="64"/>
      <c r="B402" s="64"/>
      <c r="C402" s="125">
        <v>4420</v>
      </c>
      <c r="D402" s="125" t="s">
        <v>272</v>
      </c>
      <c r="E402" s="124"/>
      <c r="F402" s="124"/>
      <c r="G402" s="124">
        <v>6170</v>
      </c>
    </row>
    <row r="403" spans="1:7" ht="18.75" customHeight="1">
      <c r="A403" s="162"/>
      <c r="B403" s="162"/>
      <c r="C403" s="162"/>
      <c r="D403" s="160" t="s">
        <v>444</v>
      </c>
      <c r="E403" s="161"/>
      <c r="F403" s="165"/>
      <c r="G403" s="165">
        <f aca="true" t="shared" si="3" ref="G403:G408">G404</f>
        <v>3000</v>
      </c>
    </row>
    <row r="404" spans="1:7" ht="18" customHeight="1" thickBot="1">
      <c r="A404" s="85"/>
      <c r="B404" s="85"/>
      <c r="C404" s="85"/>
      <c r="D404" s="79" t="s">
        <v>261</v>
      </c>
      <c r="E404" s="464"/>
      <c r="F404" s="464"/>
      <c r="G404" s="460">
        <f t="shared" si="3"/>
        <v>3000</v>
      </c>
    </row>
    <row r="405" spans="1:7" ht="19.5" customHeight="1" thickTop="1">
      <c r="A405" s="72">
        <v>851</v>
      </c>
      <c r="B405" s="72"/>
      <c r="C405" s="72"/>
      <c r="D405" s="72" t="s">
        <v>228</v>
      </c>
      <c r="E405" s="73"/>
      <c r="F405" s="73"/>
      <c r="G405" s="73">
        <f t="shared" si="3"/>
        <v>3000</v>
      </c>
    </row>
    <row r="406" spans="1:7" ht="19.5" customHeight="1">
      <c r="A406" s="162"/>
      <c r="B406" s="62">
        <v>85154</v>
      </c>
      <c r="C406" s="62"/>
      <c r="D406" s="646" t="s">
        <v>246</v>
      </c>
      <c r="E406" s="473"/>
      <c r="F406" s="473"/>
      <c r="G406" s="473">
        <f t="shared" si="3"/>
        <v>3000</v>
      </c>
    </row>
    <row r="407" spans="1:7" ht="27" customHeight="1">
      <c r="A407" s="162"/>
      <c r="B407" s="70"/>
      <c r="C407" s="70"/>
      <c r="D407" s="135" t="s">
        <v>402</v>
      </c>
      <c r="E407" s="136"/>
      <c r="F407" s="136"/>
      <c r="G407" s="136">
        <f t="shared" si="3"/>
        <v>3000</v>
      </c>
    </row>
    <row r="408" spans="1:7" ht="26.25" customHeight="1">
      <c r="A408" s="162"/>
      <c r="B408" s="64"/>
      <c r="C408" s="64"/>
      <c r="D408" s="475" t="s">
        <v>154</v>
      </c>
      <c r="E408" s="92"/>
      <c r="F408" s="92"/>
      <c r="G408" s="92">
        <f t="shared" si="3"/>
        <v>3000</v>
      </c>
    </row>
    <row r="409" spans="1:7" ht="17.25" customHeight="1">
      <c r="A409" s="162"/>
      <c r="B409" s="64"/>
      <c r="C409" s="63">
        <v>4300</v>
      </c>
      <c r="D409" s="78" t="s">
        <v>262</v>
      </c>
      <c r="E409" s="90"/>
      <c r="F409" s="90"/>
      <c r="G409" s="90">
        <v>3000</v>
      </c>
    </row>
    <row r="410" spans="1:7" ht="16.5" customHeight="1">
      <c r="A410" s="162"/>
      <c r="B410" s="162"/>
      <c r="C410" s="162"/>
      <c r="D410" s="160" t="s">
        <v>445</v>
      </c>
      <c r="E410" s="161"/>
      <c r="F410" s="165"/>
      <c r="G410" s="165">
        <f>G411</f>
        <v>9000</v>
      </c>
    </row>
    <row r="411" spans="1:7" ht="18" customHeight="1" thickBot="1">
      <c r="A411" s="85"/>
      <c r="B411" s="85"/>
      <c r="C411" s="85"/>
      <c r="D411" s="79" t="s">
        <v>261</v>
      </c>
      <c r="E411" s="464"/>
      <c r="F411" s="464"/>
      <c r="G411" s="460">
        <f>G412</f>
        <v>9000</v>
      </c>
    </row>
    <row r="412" spans="1:7" ht="16.5" customHeight="1" thickTop="1">
      <c r="A412" s="72">
        <v>851</v>
      </c>
      <c r="B412" s="72"/>
      <c r="C412" s="72"/>
      <c r="D412" s="72" t="s">
        <v>228</v>
      </c>
      <c r="E412" s="73"/>
      <c r="F412" s="73"/>
      <c r="G412" s="73">
        <f>G413</f>
        <v>9000</v>
      </c>
    </row>
    <row r="413" spans="1:7" ht="19.5" customHeight="1">
      <c r="A413" s="162"/>
      <c r="B413" s="62">
        <v>85154</v>
      </c>
      <c r="C413" s="62"/>
      <c r="D413" s="646" t="s">
        <v>246</v>
      </c>
      <c r="E413" s="473"/>
      <c r="F413" s="473"/>
      <c r="G413" s="473">
        <f>G414</f>
        <v>9000</v>
      </c>
    </row>
    <row r="414" spans="1:7" ht="27" customHeight="1">
      <c r="A414" s="162"/>
      <c r="B414" s="70"/>
      <c r="C414" s="70"/>
      <c r="D414" s="135" t="s">
        <v>402</v>
      </c>
      <c r="E414" s="136"/>
      <c r="F414" s="136"/>
      <c r="G414" s="136">
        <f>G418+G415</f>
        <v>9000</v>
      </c>
    </row>
    <row r="415" spans="1:7" ht="39" customHeight="1">
      <c r="A415" s="162"/>
      <c r="B415" s="64"/>
      <c r="C415" s="64"/>
      <c r="D415" s="499" t="s">
        <v>420</v>
      </c>
      <c r="E415" s="92"/>
      <c r="F415" s="92"/>
      <c r="G415" s="92">
        <f>SUM(G416:G417)</f>
        <v>8000</v>
      </c>
    </row>
    <row r="416" spans="1:7" ht="19.5" customHeight="1">
      <c r="A416" s="162"/>
      <c r="B416" s="64"/>
      <c r="C416" s="63">
        <v>4210</v>
      </c>
      <c r="D416" s="78" t="s">
        <v>270</v>
      </c>
      <c r="E416" s="90"/>
      <c r="F416" s="90"/>
      <c r="G416" s="90">
        <v>5900</v>
      </c>
    </row>
    <row r="417" spans="1:7" ht="19.5" customHeight="1">
      <c r="A417" s="162"/>
      <c r="B417" s="64"/>
      <c r="C417" s="63">
        <v>4300</v>
      </c>
      <c r="D417" s="78" t="s">
        <v>262</v>
      </c>
      <c r="E417" s="90"/>
      <c r="F417" s="90"/>
      <c r="G417" s="90">
        <v>2100</v>
      </c>
    </row>
    <row r="418" spans="1:7" ht="26.25" customHeight="1">
      <c r="A418" s="162"/>
      <c r="B418" s="64"/>
      <c r="C418" s="64"/>
      <c r="D418" s="475" t="s">
        <v>154</v>
      </c>
      <c r="E418" s="92"/>
      <c r="F418" s="92"/>
      <c r="G418" s="92">
        <f>G419</f>
        <v>1000</v>
      </c>
    </row>
    <row r="419" spans="1:7" ht="19.5" customHeight="1">
      <c r="A419" s="162"/>
      <c r="B419" s="64"/>
      <c r="C419" s="63">
        <v>4210</v>
      </c>
      <c r="D419" s="78" t="s">
        <v>270</v>
      </c>
      <c r="E419" s="90"/>
      <c r="F419" s="90"/>
      <c r="G419" s="90">
        <v>1000</v>
      </c>
    </row>
    <row r="420" spans="1:7" ht="18.75" customHeight="1">
      <c r="A420" s="162"/>
      <c r="B420" s="162"/>
      <c r="C420" s="162"/>
      <c r="D420" s="160" t="s">
        <v>446</v>
      </c>
      <c r="E420" s="161"/>
      <c r="F420" s="165"/>
      <c r="G420" s="165">
        <f aca="true" t="shared" si="4" ref="G420:G425">G421</f>
        <v>6000</v>
      </c>
    </row>
    <row r="421" spans="1:7" ht="18" customHeight="1" thickBot="1">
      <c r="A421" s="85"/>
      <c r="B421" s="85"/>
      <c r="C421" s="85"/>
      <c r="D421" s="79" t="s">
        <v>261</v>
      </c>
      <c r="E421" s="464"/>
      <c r="F421" s="464"/>
      <c r="G421" s="460">
        <f t="shared" si="4"/>
        <v>6000</v>
      </c>
    </row>
    <row r="422" spans="1:7" ht="19.5" customHeight="1" thickTop="1">
      <c r="A422" s="72">
        <v>851</v>
      </c>
      <c r="B422" s="72"/>
      <c r="C422" s="72"/>
      <c r="D422" s="72" t="s">
        <v>228</v>
      </c>
      <c r="E422" s="73"/>
      <c r="F422" s="73"/>
      <c r="G422" s="73">
        <f t="shared" si="4"/>
        <v>6000</v>
      </c>
    </row>
    <row r="423" spans="1:7" ht="19.5" customHeight="1">
      <c r="A423" s="747"/>
      <c r="B423" s="71">
        <v>85154</v>
      </c>
      <c r="C423" s="71"/>
      <c r="D423" s="279" t="s">
        <v>246</v>
      </c>
      <c r="E423" s="77"/>
      <c r="F423" s="77"/>
      <c r="G423" s="77">
        <f t="shared" si="4"/>
        <v>6000</v>
      </c>
    </row>
    <row r="424" spans="1:7" ht="27" customHeight="1">
      <c r="A424" s="162"/>
      <c r="B424" s="70"/>
      <c r="C424" s="70"/>
      <c r="D424" s="764" t="s">
        <v>402</v>
      </c>
      <c r="E424" s="765"/>
      <c r="F424" s="765"/>
      <c r="G424" s="765">
        <f t="shared" si="4"/>
        <v>6000</v>
      </c>
    </row>
    <row r="425" spans="1:7" ht="26.25" customHeight="1">
      <c r="A425" s="162"/>
      <c r="B425" s="64"/>
      <c r="C425" s="64"/>
      <c r="D425" s="475" t="s">
        <v>154</v>
      </c>
      <c r="E425" s="92"/>
      <c r="F425" s="92"/>
      <c r="G425" s="92">
        <f t="shared" si="4"/>
        <v>6000</v>
      </c>
    </row>
    <row r="426" spans="1:7" ht="19.5" customHeight="1">
      <c r="A426" s="162"/>
      <c r="B426" s="64"/>
      <c r="C426" s="63">
        <v>4300</v>
      </c>
      <c r="D426" s="78" t="s">
        <v>262</v>
      </c>
      <c r="E426" s="90"/>
      <c r="F426" s="90"/>
      <c r="G426" s="90">
        <v>6000</v>
      </c>
    </row>
    <row r="427" spans="1:7" ht="22.5" customHeight="1">
      <c r="A427" s="162"/>
      <c r="B427" s="162"/>
      <c r="C427" s="162"/>
      <c r="D427" s="160" t="s">
        <v>447</v>
      </c>
      <c r="E427" s="161"/>
      <c r="F427" s="165"/>
      <c r="G427" s="165">
        <f>G428</f>
        <v>3400</v>
      </c>
    </row>
    <row r="428" spans="1:7" ht="18" customHeight="1" thickBot="1">
      <c r="A428" s="85"/>
      <c r="B428" s="85"/>
      <c r="C428" s="85"/>
      <c r="D428" s="79" t="s">
        <v>261</v>
      </c>
      <c r="E428" s="464"/>
      <c r="F428" s="464"/>
      <c r="G428" s="460">
        <f>G429</f>
        <v>3400</v>
      </c>
    </row>
    <row r="429" spans="1:7" ht="19.5" customHeight="1" thickTop="1">
      <c r="A429" s="72">
        <v>851</v>
      </c>
      <c r="B429" s="72"/>
      <c r="C429" s="72"/>
      <c r="D429" s="72" t="s">
        <v>228</v>
      </c>
      <c r="E429" s="73"/>
      <c r="F429" s="73"/>
      <c r="G429" s="73">
        <f>G430</f>
        <v>3400</v>
      </c>
    </row>
    <row r="430" spans="1:7" ht="19.5" customHeight="1">
      <c r="A430" s="162"/>
      <c r="B430" s="62">
        <v>85154</v>
      </c>
      <c r="C430" s="62"/>
      <c r="D430" s="646" t="s">
        <v>246</v>
      </c>
      <c r="E430" s="473"/>
      <c r="F430" s="473"/>
      <c r="G430" s="473">
        <f>G431</f>
        <v>3400</v>
      </c>
    </row>
    <row r="431" spans="1:7" ht="27" customHeight="1">
      <c r="A431" s="162"/>
      <c r="B431" s="70"/>
      <c r="C431" s="70"/>
      <c r="D431" s="135" t="s">
        <v>402</v>
      </c>
      <c r="E431" s="136"/>
      <c r="F431" s="136"/>
      <c r="G431" s="136">
        <f>G432</f>
        <v>3400</v>
      </c>
    </row>
    <row r="432" spans="1:7" ht="29.25" customHeight="1">
      <c r="A432" s="162"/>
      <c r="B432" s="64"/>
      <c r="C432" s="64"/>
      <c r="D432" s="475" t="s">
        <v>154</v>
      </c>
      <c r="E432" s="92"/>
      <c r="F432" s="92"/>
      <c r="G432" s="92">
        <f>SUM(G433:G433)</f>
        <v>3400</v>
      </c>
    </row>
    <row r="433" spans="1:7" ht="19.5" customHeight="1">
      <c r="A433" s="162"/>
      <c r="B433" s="64"/>
      <c r="C433" s="63">
        <v>4300</v>
      </c>
      <c r="D433" s="78" t="s">
        <v>262</v>
      </c>
      <c r="E433" s="90"/>
      <c r="F433" s="90"/>
      <c r="G433" s="90">
        <v>3400</v>
      </c>
    </row>
    <row r="434" spans="1:7" ht="22.5" customHeight="1">
      <c r="A434" s="162"/>
      <c r="B434" s="162"/>
      <c r="C434" s="162"/>
      <c r="D434" s="160" t="s">
        <v>448</v>
      </c>
      <c r="E434" s="161"/>
      <c r="F434" s="165"/>
      <c r="G434" s="165">
        <f>G435</f>
        <v>3000</v>
      </c>
    </row>
    <row r="435" spans="1:7" ht="18" customHeight="1" thickBot="1">
      <c r="A435" s="85"/>
      <c r="B435" s="85"/>
      <c r="C435" s="85"/>
      <c r="D435" s="79" t="s">
        <v>261</v>
      </c>
      <c r="E435" s="464"/>
      <c r="F435" s="464"/>
      <c r="G435" s="460">
        <f>G436</f>
        <v>3000</v>
      </c>
    </row>
    <row r="436" spans="1:7" ht="19.5" customHeight="1" thickTop="1">
      <c r="A436" s="72">
        <v>851</v>
      </c>
      <c r="B436" s="72"/>
      <c r="C436" s="72"/>
      <c r="D436" s="72" t="s">
        <v>228</v>
      </c>
      <c r="E436" s="73"/>
      <c r="F436" s="73"/>
      <c r="G436" s="73">
        <f>G437</f>
        <v>3000</v>
      </c>
    </row>
    <row r="437" spans="1:7" ht="19.5" customHeight="1">
      <c r="A437" s="162"/>
      <c r="B437" s="62">
        <v>85154</v>
      </c>
      <c r="C437" s="62"/>
      <c r="D437" s="646" t="s">
        <v>246</v>
      </c>
      <c r="E437" s="473"/>
      <c r="F437" s="473"/>
      <c r="G437" s="473">
        <f>G438</f>
        <v>3000</v>
      </c>
    </row>
    <row r="438" spans="1:7" ht="27" customHeight="1">
      <c r="A438" s="162"/>
      <c r="B438" s="70"/>
      <c r="C438" s="70"/>
      <c r="D438" s="135" t="s">
        <v>402</v>
      </c>
      <c r="E438" s="136"/>
      <c r="F438" s="136"/>
      <c r="G438" s="136">
        <f>G439</f>
        <v>3000</v>
      </c>
    </row>
    <row r="439" spans="1:7" ht="26.25" customHeight="1">
      <c r="A439" s="162"/>
      <c r="B439" s="64"/>
      <c r="C439" s="64"/>
      <c r="D439" s="475" t="s">
        <v>154</v>
      </c>
      <c r="E439" s="92"/>
      <c r="F439" s="92"/>
      <c r="G439" s="92">
        <f>SUM(G440:G440)</f>
        <v>3000</v>
      </c>
    </row>
    <row r="440" spans="1:7" ht="19.5" customHeight="1">
      <c r="A440" s="162"/>
      <c r="B440" s="64"/>
      <c r="C440" s="63">
        <v>4300</v>
      </c>
      <c r="D440" s="78" t="s">
        <v>262</v>
      </c>
      <c r="E440" s="90"/>
      <c r="F440" s="90"/>
      <c r="G440" s="90">
        <v>3000</v>
      </c>
    </row>
    <row r="441" spans="1:7" ht="22.5" customHeight="1">
      <c r="A441" s="162"/>
      <c r="B441" s="162"/>
      <c r="C441" s="162"/>
      <c r="D441" s="160" t="s">
        <v>449</v>
      </c>
      <c r="E441" s="161"/>
      <c r="F441" s="165"/>
      <c r="G441" s="165">
        <f>G442</f>
        <v>15000</v>
      </c>
    </row>
    <row r="442" spans="1:7" ht="18" customHeight="1" thickBot="1">
      <c r="A442" s="85"/>
      <c r="B442" s="85"/>
      <c r="C442" s="85"/>
      <c r="D442" s="79" t="s">
        <v>261</v>
      </c>
      <c r="E442" s="464"/>
      <c r="F442" s="464"/>
      <c r="G442" s="460">
        <f>G443</f>
        <v>15000</v>
      </c>
    </row>
    <row r="443" spans="1:7" ht="19.5" customHeight="1" thickTop="1">
      <c r="A443" s="72">
        <v>851</v>
      </c>
      <c r="B443" s="72"/>
      <c r="C443" s="72"/>
      <c r="D443" s="72" t="s">
        <v>228</v>
      </c>
      <c r="E443" s="73"/>
      <c r="F443" s="73"/>
      <c r="G443" s="73">
        <f>G444</f>
        <v>15000</v>
      </c>
    </row>
    <row r="444" spans="1:7" ht="19.5" customHeight="1">
      <c r="A444" s="162"/>
      <c r="B444" s="62">
        <v>85154</v>
      </c>
      <c r="C444" s="62"/>
      <c r="D444" s="646" t="s">
        <v>246</v>
      </c>
      <c r="E444" s="473"/>
      <c r="F444" s="473"/>
      <c r="G444" s="473">
        <f>G445</f>
        <v>15000</v>
      </c>
    </row>
    <row r="445" spans="1:7" ht="27" customHeight="1">
      <c r="A445" s="162"/>
      <c r="B445" s="70"/>
      <c r="C445" s="70"/>
      <c r="D445" s="135" t="s">
        <v>402</v>
      </c>
      <c r="E445" s="136"/>
      <c r="F445" s="136"/>
      <c r="G445" s="136">
        <f>G446+G448</f>
        <v>15000</v>
      </c>
    </row>
    <row r="446" spans="1:7" ht="27" customHeight="1">
      <c r="A446" s="162"/>
      <c r="B446" s="70"/>
      <c r="C446" s="70"/>
      <c r="D446" s="499" t="s">
        <v>443</v>
      </c>
      <c r="E446" s="473"/>
      <c r="F446" s="473"/>
      <c r="G446" s="86">
        <f>G447</f>
        <v>5000</v>
      </c>
    </row>
    <row r="447" spans="1:7" ht="19.5" customHeight="1">
      <c r="A447" s="166"/>
      <c r="B447" s="85"/>
      <c r="C447" s="63">
        <v>4300</v>
      </c>
      <c r="D447" s="78" t="s">
        <v>262</v>
      </c>
      <c r="E447" s="90"/>
      <c r="F447" s="90"/>
      <c r="G447" s="90">
        <v>5000</v>
      </c>
    </row>
    <row r="448" spans="1:7" ht="27" customHeight="1">
      <c r="A448" s="162"/>
      <c r="B448" s="64"/>
      <c r="C448" s="64"/>
      <c r="D448" s="499" t="s">
        <v>418</v>
      </c>
      <c r="E448" s="92"/>
      <c r="F448" s="92"/>
      <c r="G448" s="92">
        <f>SUM(G449:G449)</f>
        <v>10000</v>
      </c>
    </row>
    <row r="449" spans="1:7" ht="19.5" customHeight="1">
      <c r="A449" s="162"/>
      <c r="B449" s="64"/>
      <c r="C449" s="63">
        <v>4270</v>
      </c>
      <c r="D449" s="78" t="s">
        <v>28</v>
      </c>
      <c r="E449" s="90"/>
      <c r="F449" s="90"/>
      <c r="G449" s="90">
        <v>10000</v>
      </c>
    </row>
    <row r="450" spans="1:7" ht="22.5" customHeight="1">
      <c r="A450" s="162"/>
      <c r="B450" s="162"/>
      <c r="C450" s="162"/>
      <c r="D450" s="160" t="s">
        <v>450</v>
      </c>
      <c r="E450" s="161"/>
      <c r="F450" s="165"/>
      <c r="G450" s="165">
        <f>G451</f>
        <v>3000</v>
      </c>
    </row>
    <row r="451" spans="1:7" ht="18" customHeight="1" thickBot="1">
      <c r="A451" s="85"/>
      <c r="B451" s="85"/>
      <c r="C451" s="85"/>
      <c r="D451" s="79" t="s">
        <v>261</v>
      </c>
      <c r="E451" s="464"/>
      <c r="F451" s="464"/>
      <c r="G451" s="460">
        <f>G452</f>
        <v>3000</v>
      </c>
    </row>
    <row r="452" spans="1:7" ht="19.5" customHeight="1" thickTop="1">
      <c r="A452" s="72">
        <v>851</v>
      </c>
      <c r="B452" s="72"/>
      <c r="C452" s="72"/>
      <c r="D452" s="72" t="s">
        <v>228</v>
      </c>
      <c r="E452" s="73"/>
      <c r="F452" s="73"/>
      <c r="G452" s="73">
        <f>G453</f>
        <v>3000</v>
      </c>
    </row>
    <row r="453" spans="1:7" ht="19.5" customHeight="1">
      <c r="A453" s="162"/>
      <c r="B453" s="62">
        <v>85154</v>
      </c>
      <c r="C453" s="62"/>
      <c r="D453" s="646" t="s">
        <v>246</v>
      </c>
      <c r="E453" s="473"/>
      <c r="F453" s="473"/>
      <c r="G453" s="473">
        <f>G454</f>
        <v>3000</v>
      </c>
    </row>
    <row r="454" spans="1:7" ht="27" customHeight="1">
      <c r="A454" s="162"/>
      <c r="B454" s="70"/>
      <c r="C454" s="70"/>
      <c r="D454" s="135" t="s">
        <v>402</v>
      </c>
      <c r="E454" s="136"/>
      <c r="F454" s="136"/>
      <c r="G454" s="136">
        <f>G455</f>
        <v>3000</v>
      </c>
    </row>
    <row r="455" spans="1:7" ht="27" customHeight="1">
      <c r="A455" s="162"/>
      <c r="B455" s="64"/>
      <c r="C455" s="64"/>
      <c r="D455" s="499" t="s">
        <v>418</v>
      </c>
      <c r="E455" s="92"/>
      <c r="F455" s="92"/>
      <c r="G455" s="92">
        <f>SUM(G456:G456)</f>
        <v>3000</v>
      </c>
    </row>
    <row r="456" spans="1:7" ht="19.5" customHeight="1">
      <c r="A456" s="162"/>
      <c r="B456" s="64"/>
      <c r="C456" s="63">
        <v>4210</v>
      </c>
      <c r="D456" s="78" t="s">
        <v>270</v>
      </c>
      <c r="E456" s="90"/>
      <c r="F456" s="90"/>
      <c r="G456" s="90">
        <v>3000</v>
      </c>
    </row>
    <row r="457" spans="1:7" ht="29.25" customHeight="1">
      <c r="A457" s="162"/>
      <c r="B457" s="162"/>
      <c r="C457" s="162"/>
      <c r="D457" s="160" t="s">
        <v>451</v>
      </c>
      <c r="E457" s="161"/>
      <c r="F457" s="165">
        <f>F458</f>
        <v>6000</v>
      </c>
      <c r="G457" s="165">
        <f>G458</f>
        <v>18000</v>
      </c>
    </row>
    <row r="458" spans="1:7" ht="18" customHeight="1" thickBot="1">
      <c r="A458" s="85"/>
      <c r="B458" s="85"/>
      <c r="C458" s="85"/>
      <c r="D458" s="79" t="s">
        <v>261</v>
      </c>
      <c r="E458" s="464"/>
      <c r="F458" s="460">
        <f>F466</f>
        <v>6000</v>
      </c>
      <c r="G458" s="460">
        <f>G466+G459</f>
        <v>18000</v>
      </c>
    </row>
    <row r="459" spans="1:7" ht="19.5" customHeight="1" thickTop="1">
      <c r="A459" s="72">
        <v>851</v>
      </c>
      <c r="B459" s="72"/>
      <c r="C459" s="72"/>
      <c r="D459" s="72" t="s">
        <v>228</v>
      </c>
      <c r="E459" s="73"/>
      <c r="F459" s="73"/>
      <c r="G459" s="73">
        <f>G460</f>
        <v>12000</v>
      </c>
    </row>
    <row r="460" spans="1:7" ht="19.5" customHeight="1">
      <c r="A460" s="162"/>
      <c r="B460" s="62">
        <v>85154</v>
      </c>
      <c r="C460" s="62"/>
      <c r="D460" s="646" t="s">
        <v>246</v>
      </c>
      <c r="E460" s="473"/>
      <c r="F460" s="473"/>
      <c r="G460" s="473">
        <f>G461</f>
        <v>12000</v>
      </c>
    </row>
    <row r="461" spans="1:7" ht="28.5" customHeight="1">
      <c r="A461" s="162"/>
      <c r="B461" s="70"/>
      <c r="C461" s="70"/>
      <c r="D461" s="135" t="s">
        <v>402</v>
      </c>
      <c r="E461" s="136"/>
      <c r="F461" s="136"/>
      <c r="G461" s="136">
        <f>G462</f>
        <v>12000</v>
      </c>
    </row>
    <row r="462" spans="1:7" ht="27" customHeight="1">
      <c r="A462" s="162"/>
      <c r="B462" s="64"/>
      <c r="C462" s="64"/>
      <c r="D462" s="499" t="s">
        <v>443</v>
      </c>
      <c r="E462" s="92"/>
      <c r="F462" s="92"/>
      <c r="G462" s="92">
        <f>G463+G465</f>
        <v>12000</v>
      </c>
    </row>
    <row r="463" spans="1:7" ht="19.5" customHeight="1">
      <c r="A463" s="162"/>
      <c r="B463" s="64"/>
      <c r="C463" s="63">
        <v>4300</v>
      </c>
      <c r="D463" s="78" t="s">
        <v>262</v>
      </c>
      <c r="E463" s="90"/>
      <c r="F463" s="90"/>
      <c r="G463" s="90">
        <v>3500</v>
      </c>
    </row>
    <row r="464" spans="1:7" ht="18.75" customHeight="1">
      <c r="A464" s="162"/>
      <c r="B464" s="64"/>
      <c r="C464" s="120"/>
      <c r="D464" s="773" t="s">
        <v>1</v>
      </c>
      <c r="E464" s="591"/>
      <c r="F464" s="591"/>
      <c r="G464" s="591">
        <v>8500</v>
      </c>
    </row>
    <row r="465" spans="1:7" ht="19.5" customHeight="1">
      <c r="A465" s="162"/>
      <c r="B465" s="64"/>
      <c r="C465" s="63">
        <v>6060</v>
      </c>
      <c r="D465" s="78" t="s">
        <v>267</v>
      </c>
      <c r="E465" s="75"/>
      <c r="F465" s="75"/>
      <c r="G465" s="75">
        <v>8500</v>
      </c>
    </row>
    <row r="466" spans="1:7" ht="20.25" customHeight="1">
      <c r="A466" s="67">
        <v>853</v>
      </c>
      <c r="B466" s="67"/>
      <c r="C466" s="72"/>
      <c r="D466" s="72" t="s">
        <v>229</v>
      </c>
      <c r="E466" s="73"/>
      <c r="F466" s="73">
        <f>F467</f>
        <v>6000</v>
      </c>
      <c r="G466" s="73">
        <f>G467</f>
        <v>6000</v>
      </c>
    </row>
    <row r="467" spans="1:7" ht="18" customHeight="1">
      <c r="A467" s="159"/>
      <c r="B467" s="71">
        <v>85302</v>
      </c>
      <c r="C467" s="71"/>
      <c r="D467" s="71" t="s">
        <v>299</v>
      </c>
      <c r="E467" s="77"/>
      <c r="F467" s="77">
        <f>F468</f>
        <v>6000</v>
      </c>
      <c r="G467" s="77">
        <f>G470</f>
        <v>6000</v>
      </c>
    </row>
    <row r="468" spans="1:7" ht="18" customHeight="1">
      <c r="A468" s="162"/>
      <c r="B468" s="64"/>
      <c r="C468" s="120"/>
      <c r="D468" s="480" t="s">
        <v>276</v>
      </c>
      <c r="E468" s="76"/>
      <c r="F468" s="76">
        <f>F469</f>
        <v>6000</v>
      </c>
      <c r="G468" s="76"/>
    </row>
    <row r="469" spans="1:7" ht="19.5" customHeight="1">
      <c r="A469" s="162"/>
      <c r="B469" s="64"/>
      <c r="C469" s="63">
        <v>4230</v>
      </c>
      <c r="D469" s="78" t="s">
        <v>160</v>
      </c>
      <c r="E469" s="75"/>
      <c r="F469" s="75">
        <v>6000</v>
      </c>
      <c r="G469" s="75"/>
    </row>
    <row r="470" spans="1:7" ht="18.75" customHeight="1">
      <c r="A470" s="162"/>
      <c r="B470" s="64"/>
      <c r="C470" s="61"/>
      <c r="D470" s="480" t="s">
        <v>266</v>
      </c>
      <c r="E470" s="26"/>
      <c r="F470" s="26"/>
      <c r="G470" s="26">
        <f>G471</f>
        <v>6000</v>
      </c>
    </row>
    <row r="471" spans="1:7" ht="19.5" customHeight="1">
      <c r="A471" s="162"/>
      <c r="B471" s="64"/>
      <c r="C471" s="61"/>
      <c r="D471" s="521" t="s">
        <v>295</v>
      </c>
      <c r="E471" s="526"/>
      <c r="F471" s="520"/>
      <c r="G471" s="520">
        <f>G472</f>
        <v>6000</v>
      </c>
    </row>
    <row r="472" spans="1:7" ht="19.5" customHeight="1">
      <c r="A472" s="166"/>
      <c r="B472" s="85"/>
      <c r="C472" s="63">
        <v>6060</v>
      </c>
      <c r="D472" s="119" t="s">
        <v>174</v>
      </c>
      <c r="E472" s="524"/>
      <c r="F472" s="75"/>
      <c r="G472" s="75">
        <v>6000</v>
      </c>
    </row>
    <row r="473" spans="1:7" ht="22.5" customHeight="1">
      <c r="A473" s="162"/>
      <c r="B473" s="162"/>
      <c r="C473" s="162"/>
      <c r="D473" s="163" t="s">
        <v>72</v>
      </c>
      <c r="E473" s="164"/>
      <c r="F473" s="168"/>
      <c r="G473" s="168">
        <f>G474</f>
        <v>2000</v>
      </c>
    </row>
    <row r="474" spans="1:7" ht="18" customHeight="1" thickBot="1">
      <c r="A474" s="85"/>
      <c r="B474" s="85"/>
      <c r="C474" s="85"/>
      <c r="D474" s="79" t="s">
        <v>261</v>
      </c>
      <c r="E474" s="464"/>
      <c r="F474" s="464"/>
      <c r="G474" s="460">
        <f>G475</f>
        <v>2000</v>
      </c>
    </row>
    <row r="475" spans="1:7" ht="19.5" customHeight="1" thickTop="1">
      <c r="A475" s="72">
        <v>851</v>
      </c>
      <c r="B475" s="72"/>
      <c r="C475" s="72"/>
      <c r="D475" s="72" t="s">
        <v>228</v>
      </c>
      <c r="E475" s="73"/>
      <c r="F475" s="73"/>
      <c r="G475" s="73">
        <f>G476</f>
        <v>2000</v>
      </c>
    </row>
    <row r="476" spans="1:7" ht="19.5" customHeight="1">
      <c r="A476" s="162"/>
      <c r="B476" s="62">
        <v>85154</v>
      </c>
      <c r="C476" s="62"/>
      <c r="D476" s="646" t="s">
        <v>246</v>
      </c>
      <c r="E476" s="473"/>
      <c r="F476" s="473"/>
      <c r="G476" s="473">
        <f>G477</f>
        <v>2000</v>
      </c>
    </row>
    <row r="477" spans="1:7" ht="27.75" customHeight="1">
      <c r="A477" s="162"/>
      <c r="B477" s="70"/>
      <c r="C477" s="70"/>
      <c r="D477" s="135" t="s">
        <v>402</v>
      </c>
      <c r="E477" s="136"/>
      <c r="F477" s="136"/>
      <c r="G477" s="136">
        <f>G478</f>
        <v>2000</v>
      </c>
    </row>
    <row r="478" spans="1:7" ht="39" customHeight="1">
      <c r="A478" s="162"/>
      <c r="B478" s="64"/>
      <c r="C478" s="64"/>
      <c r="D478" s="499" t="s">
        <v>420</v>
      </c>
      <c r="E478" s="92"/>
      <c r="F478" s="92"/>
      <c r="G478" s="92">
        <f>SUM(G479:G479)</f>
        <v>2000</v>
      </c>
    </row>
    <row r="479" spans="1:7" ht="19.5" customHeight="1">
      <c r="A479" s="162"/>
      <c r="B479" s="64"/>
      <c r="C479" s="63">
        <v>4300</v>
      </c>
      <c r="D479" s="78" t="s">
        <v>262</v>
      </c>
      <c r="E479" s="90"/>
      <c r="F479" s="90"/>
      <c r="G479" s="90">
        <v>2000</v>
      </c>
    </row>
    <row r="480" spans="1:8" ht="21" customHeight="1">
      <c r="A480" s="162"/>
      <c r="B480" s="162"/>
      <c r="C480" s="162"/>
      <c r="D480" s="163" t="s">
        <v>452</v>
      </c>
      <c r="E480" s="164"/>
      <c r="F480" s="168"/>
      <c r="G480" s="168">
        <f>G518+G482</f>
        <v>232851</v>
      </c>
      <c r="H480" s="82">
        <f>G480-F480</f>
        <v>232851</v>
      </c>
    </row>
    <row r="481" spans="1:7" ht="21" customHeight="1" thickBot="1">
      <c r="A481" s="85"/>
      <c r="B481" s="85"/>
      <c r="C481" s="85"/>
      <c r="D481" s="79" t="s">
        <v>261</v>
      </c>
      <c r="E481" s="460"/>
      <c r="F481" s="460"/>
      <c r="G481" s="460">
        <f>G482</f>
        <v>224000</v>
      </c>
    </row>
    <row r="482" spans="1:7" ht="19.5" customHeight="1" thickTop="1">
      <c r="A482" s="72">
        <v>851</v>
      </c>
      <c r="B482" s="72"/>
      <c r="C482" s="72"/>
      <c r="D482" s="72" t="s">
        <v>228</v>
      </c>
      <c r="E482" s="73"/>
      <c r="F482" s="73"/>
      <c r="G482" s="73">
        <f>G483</f>
        <v>224000</v>
      </c>
    </row>
    <row r="483" spans="1:7" ht="19.5" customHeight="1">
      <c r="A483" s="162"/>
      <c r="B483" s="62">
        <v>85154</v>
      </c>
      <c r="C483" s="62"/>
      <c r="D483" s="646" t="s">
        <v>246</v>
      </c>
      <c r="E483" s="473"/>
      <c r="F483" s="473"/>
      <c r="G483" s="473">
        <f>G484</f>
        <v>224000</v>
      </c>
    </row>
    <row r="484" spans="1:7" ht="27.75" customHeight="1">
      <c r="A484" s="162"/>
      <c r="B484" s="70"/>
      <c r="C484" s="70"/>
      <c r="D484" s="135" t="s">
        <v>402</v>
      </c>
      <c r="E484" s="136"/>
      <c r="F484" s="136"/>
      <c r="G484" s="136">
        <f>G485+G489+G514</f>
        <v>224000</v>
      </c>
    </row>
    <row r="485" spans="1:7" ht="26.25" customHeight="1">
      <c r="A485" s="162"/>
      <c r="B485" s="64"/>
      <c r="C485" s="64"/>
      <c r="D485" s="499" t="s">
        <v>16</v>
      </c>
      <c r="E485" s="92"/>
      <c r="F485" s="92"/>
      <c r="G485" s="92">
        <f>G487+G488</f>
        <v>9000</v>
      </c>
    </row>
    <row r="486" spans="1:7" ht="26.25" customHeight="1">
      <c r="A486" s="162"/>
      <c r="B486" s="64"/>
      <c r="C486" s="64"/>
      <c r="D486" s="774" t="s">
        <v>29</v>
      </c>
      <c r="E486" s="520"/>
      <c r="F486" s="520"/>
      <c r="G486" s="520">
        <v>9000</v>
      </c>
    </row>
    <row r="487" spans="1:7" ht="19.5" customHeight="1">
      <c r="A487" s="162"/>
      <c r="B487" s="64"/>
      <c r="C487" s="63">
        <v>4210</v>
      </c>
      <c r="D487" s="78" t="s">
        <v>270</v>
      </c>
      <c r="E487" s="75"/>
      <c r="F487" s="75"/>
      <c r="G487" s="75">
        <v>4500</v>
      </c>
    </row>
    <row r="488" spans="1:7" ht="19.5" customHeight="1">
      <c r="A488" s="162"/>
      <c r="B488" s="64"/>
      <c r="C488" s="63">
        <v>4300</v>
      </c>
      <c r="D488" s="78" t="s">
        <v>262</v>
      </c>
      <c r="E488" s="90"/>
      <c r="F488" s="90"/>
      <c r="G488" s="90">
        <v>4500</v>
      </c>
    </row>
    <row r="489" spans="1:7" ht="39" customHeight="1">
      <c r="A489" s="162"/>
      <c r="B489" s="64"/>
      <c r="C489" s="64"/>
      <c r="D489" s="499" t="s">
        <v>420</v>
      </c>
      <c r="E489" s="92"/>
      <c r="F489" s="92"/>
      <c r="G489" s="92">
        <f>G490+G497+G502+G507+G512</f>
        <v>201000</v>
      </c>
    </row>
    <row r="490" spans="1:7" ht="19.5" customHeight="1">
      <c r="A490" s="162"/>
      <c r="B490" s="64"/>
      <c r="C490" s="64"/>
      <c r="D490" s="774" t="s">
        <v>31</v>
      </c>
      <c r="E490" s="520"/>
      <c r="F490" s="520"/>
      <c r="G490" s="520">
        <f>SUM(G491:G495)</f>
        <v>64000</v>
      </c>
    </row>
    <row r="491" spans="1:7" ht="19.5" customHeight="1">
      <c r="A491" s="162"/>
      <c r="B491" s="64"/>
      <c r="C491" s="63">
        <v>4110</v>
      </c>
      <c r="D491" s="78" t="s">
        <v>268</v>
      </c>
      <c r="E491" s="75"/>
      <c r="F491" s="75"/>
      <c r="G491" s="75">
        <v>5088</v>
      </c>
    </row>
    <row r="492" spans="1:7" ht="19.5" customHeight="1">
      <c r="A492" s="162"/>
      <c r="B492" s="64"/>
      <c r="C492" s="63">
        <v>4120</v>
      </c>
      <c r="D492" s="78" t="s">
        <v>269</v>
      </c>
      <c r="E492" s="90"/>
      <c r="F492" s="90"/>
      <c r="G492" s="90">
        <v>688</v>
      </c>
    </row>
    <row r="493" spans="1:7" ht="19.5" customHeight="1">
      <c r="A493" s="162"/>
      <c r="B493" s="64"/>
      <c r="C493" s="63">
        <v>4210</v>
      </c>
      <c r="D493" s="78" t="s">
        <v>270</v>
      </c>
      <c r="E493" s="90"/>
      <c r="F493" s="90"/>
      <c r="G493" s="90">
        <v>2224</v>
      </c>
    </row>
    <row r="494" spans="1:7" ht="19.5" customHeight="1">
      <c r="A494" s="162"/>
      <c r="B494" s="64"/>
      <c r="C494" s="63">
        <v>4300</v>
      </c>
      <c r="D494" s="78" t="s">
        <v>262</v>
      </c>
      <c r="E494" s="90"/>
      <c r="F494" s="90"/>
      <c r="G494" s="90">
        <v>53500</v>
      </c>
    </row>
    <row r="495" spans="1:7" ht="19.5" customHeight="1">
      <c r="A495" s="162"/>
      <c r="B495" s="64"/>
      <c r="C495" s="120"/>
      <c r="D495" s="773" t="s">
        <v>1</v>
      </c>
      <c r="E495" s="591"/>
      <c r="F495" s="591"/>
      <c r="G495" s="591">
        <f>G496</f>
        <v>2500</v>
      </c>
    </row>
    <row r="496" spans="1:7" ht="19.5" customHeight="1">
      <c r="A496" s="166"/>
      <c r="B496" s="85"/>
      <c r="C496" s="63">
        <v>6060</v>
      </c>
      <c r="D496" s="78" t="s">
        <v>267</v>
      </c>
      <c r="E496" s="75"/>
      <c r="F496" s="75"/>
      <c r="G496" s="75">
        <v>2500</v>
      </c>
    </row>
    <row r="497" spans="1:7" ht="27" customHeight="1">
      <c r="A497" s="162"/>
      <c r="B497" s="64"/>
      <c r="C497" s="64"/>
      <c r="D497" s="775" t="s">
        <v>32</v>
      </c>
      <c r="E497" s="748"/>
      <c r="F497" s="748"/>
      <c r="G497" s="748">
        <f>SUM(G498:G501)</f>
        <v>33000</v>
      </c>
    </row>
    <row r="498" spans="1:7" ht="19.5" customHeight="1">
      <c r="A498" s="162"/>
      <c r="B498" s="64"/>
      <c r="C498" s="63">
        <v>4110</v>
      </c>
      <c r="D498" s="78" t="s">
        <v>268</v>
      </c>
      <c r="E498" s="75"/>
      <c r="F498" s="75"/>
      <c r="G498" s="75">
        <v>2996</v>
      </c>
    </row>
    <row r="499" spans="1:7" ht="19.5" customHeight="1">
      <c r="A499" s="162"/>
      <c r="B499" s="64"/>
      <c r="C499" s="63">
        <v>4120</v>
      </c>
      <c r="D499" s="78" t="s">
        <v>269</v>
      </c>
      <c r="E499" s="90"/>
      <c r="F499" s="90"/>
      <c r="G499" s="90">
        <v>412</v>
      </c>
    </row>
    <row r="500" spans="1:7" ht="19.5" customHeight="1">
      <c r="A500" s="162"/>
      <c r="B500" s="64"/>
      <c r="C500" s="63">
        <v>4210</v>
      </c>
      <c r="D500" s="78" t="s">
        <v>270</v>
      </c>
      <c r="E500" s="90"/>
      <c r="F500" s="90"/>
      <c r="G500" s="90">
        <v>146</v>
      </c>
    </row>
    <row r="501" spans="1:7" ht="19.5" customHeight="1">
      <c r="A501" s="162"/>
      <c r="B501" s="64"/>
      <c r="C501" s="63">
        <v>4300</v>
      </c>
      <c r="D501" s="78" t="s">
        <v>262</v>
      </c>
      <c r="E501" s="90"/>
      <c r="F501" s="90"/>
      <c r="G501" s="90">
        <v>29446</v>
      </c>
    </row>
    <row r="502" spans="1:7" ht="19.5" customHeight="1">
      <c r="A502" s="162"/>
      <c r="B502" s="64"/>
      <c r="C502" s="64"/>
      <c r="D502" s="774" t="s">
        <v>33</v>
      </c>
      <c r="E502" s="520"/>
      <c r="F502" s="520"/>
      <c r="G502" s="520">
        <f>SUM(G503:G506)</f>
        <v>92000</v>
      </c>
    </row>
    <row r="503" spans="1:7" ht="19.5" customHeight="1">
      <c r="A503" s="162"/>
      <c r="B503" s="64"/>
      <c r="C503" s="63">
        <v>4110</v>
      </c>
      <c r="D503" s="78" t="s">
        <v>268</v>
      </c>
      <c r="E503" s="75"/>
      <c r="F503" s="75"/>
      <c r="G503" s="75">
        <v>8794</v>
      </c>
    </row>
    <row r="504" spans="1:7" ht="19.5" customHeight="1">
      <c r="A504" s="162"/>
      <c r="B504" s="64"/>
      <c r="C504" s="63">
        <v>4120</v>
      </c>
      <c r="D504" s="78" t="s">
        <v>269</v>
      </c>
      <c r="E504" s="90"/>
      <c r="F504" s="90"/>
      <c r="G504" s="90">
        <v>1087</v>
      </c>
    </row>
    <row r="505" spans="1:7" ht="19.5" customHeight="1">
      <c r="A505" s="162"/>
      <c r="B505" s="64"/>
      <c r="C505" s="63">
        <v>4210</v>
      </c>
      <c r="D505" s="78" t="s">
        <v>270</v>
      </c>
      <c r="E505" s="90"/>
      <c r="F505" s="90"/>
      <c r="G505" s="90">
        <v>1062</v>
      </c>
    </row>
    <row r="506" spans="1:7" ht="19.5" customHeight="1">
      <c r="A506" s="162"/>
      <c r="B506" s="64"/>
      <c r="C506" s="63">
        <v>4300</v>
      </c>
      <c r="D506" s="78" t="s">
        <v>262</v>
      </c>
      <c r="E506" s="90"/>
      <c r="F506" s="90"/>
      <c r="G506" s="90">
        <v>81057</v>
      </c>
    </row>
    <row r="507" spans="1:7" ht="19.5" customHeight="1">
      <c r="A507" s="162"/>
      <c r="B507" s="64"/>
      <c r="C507" s="64"/>
      <c r="D507" s="774" t="s">
        <v>534</v>
      </c>
      <c r="E507" s="520"/>
      <c r="F507" s="520"/>
      <c r="G507" s="520">
        <f>SUM(G508:G511)</f>
        <v>2000</v>
      </c>
    </row>
    <row r="508" spans="1:7" ht="19.5" customHeight="1">
      <c r="A508" s="162"/>
      <c r="B508" s="64"/>
      <c r="C508" s="63">
        <v>4110</v>
      </c>
      <c r="D508" s="78" t="s">
        <v>268</v>
      </c>
      <c r="E508" s="75"/>
      <c r="F508" s="75"/>
      <c r="G508" s="75">
        <v>161</v>
      </c>
    </row>
    <row r="509" spans="1:7" ht="19.5" customHeight="1">
      <c r="A509" s="162"/>
      <c r="B509" s="64"/>
      <c r="C509" s="63">
        <v>4120</v>
      </c>
      <c r="D509" s="78" t="s">
        <v>269</v>
      </c>
      <c r="E509" s="90"/>
      <c r="F509" s="90"/>
      <c r="G509" s="90">
        <v>22</v>
      </c>
    </row>
    <row r="510" spans="1:7" ht="19.5" customHeight="1">
      <c r="A510" s="162"/>
      <c r="B510" s="64"/>
      <c r="C510" s="63">
        <v>4210</v>
      </c>
      <c r="D510" s="78" t="s">
        <v>270</v>
      </c>
      <c r="E510" s="90"/>
      <c r="F510" s="90"/>
      <c r="G510" s="90">
        <v>17</v>
      </c>
    </row>
    <row r="511" spans="1:7" ht="19.5" customHeight="1">
      <c r="A511" s="162"/>
      <c r="B511" s="64"/>
      <c r="C511" s="63">
        <v>4300</v>
      </c>
      <c r="D511" s="78" t="s">
        <v>262</v>
      </c>
      <c r="E511" s="90"/>
      <c r="F511" s="90"/>
      <c r="G511" s="90">
        <v>1800</v>
      </c>
    </row>
    <row r="512" spans="1:7" ht="19.5" customHeight="1">
      <c r="A512" s="162"/>
      <c r="B512" s="64"/>
      <c r="C512" s="64"/>
      <c r="D512" s="774" t="s">
        <v>34</v>
      </c>
      <c r="E512" s="567"/>
      <c r="F512" s="567"/>
      <c r="G512" s="567">
        <f>G513</f>
        <v>10000</v>
      </c>
    </row>
    <row r="513" spans="1:7" ht="19.5" customHeight="1">
      <c r="A513" s="162"/>
      <c r="B513" s="64"/>
      <c r="C513" s="63">
        <v>4300</v>
      </c>
      <c r="D513" s="78" t="s">
        <v>262</v>
      </c>
      <c r="E513" s="75"/>
      <c r="F513" s="75"/>
      <c r="G513" s="75">
        <v>10000</v>
      </c>
    </row>
    <row r="514" spans="1:7" ht="26.25" customHeight="1">
      <c r="A514" s="162"/>
      <c r="B514" s="64"/>
      <c r="C514" s="64"/>
      <c r="D514" s="40" t="s">
        <v>154</v>
      </c>
      <c r="E514" s="76"/>
      <c r="F514" s="76"/>
      <c r="G514" s="76">
        <f>G516+G517</f>
        <v>14000</v>
      </c>
    </row>
    <row r="515" spans="1:7" ht="21" customHeight="1">
      <c r="A515" s="162"/>
      <c r="B515" s="64"/>
      <c r="C515" s="64"/>
      <c r="D515" s="775" t="s">
        <v>30</v>
      </c>
      <c r="E515" s="748"/>
      <c r="F515" s="748"/>
      <c r="G515" s="748">
        <v>14000</v>
      </c>
    </row>
    <row r="516" spans="1:7" ht="19.5" customHeight="1">
      <c r="A516" s="162"/>
      <c r="B516" s="64"/>
      <c r="C516" s="63">
        <v>4210</v>
      </c>
      <c r="D516" s="78" t="s">
        <v>270</v>
      </c>
      <c r="E516" s="75"/>
      <c r="F516" s="75"/>
      <c r="G516" s="75">
        <v>11100</v>
      </c>
    </row>
    <row r="517" spans="1:7" ht="19.5" customHeight="1">
      <c r="A517" s="162"/>
      <c r="B517" s="64"/>
      <c r="C517" s="63">
        <v>4300</v>
      </c>
      <c r="D517" s="78" t="s">
        <v>262</v>
      </c>
      <c r="E517" s="90"/>
      <c r="F517" s="90"/>
      <c r="G517" s="90">
        <v>2900</v>
      </c>
    </row>
    <row r="518" spans="1:7" ht="29.25" customHeight="1" thickBot="1">
      <c r="A518" s="85"/>
      <c r="B518" s="85"/>
      <c r="C518" s="85"/>
      <c r="D518" s="79" t="s">
        <v>222</v>
      </c>
      <c r="E518" s="460"/>
      <c r="F518" s="460"/>
      <c r="G518" s="460">
        <f>G519</f>
        <v>8851</v>
      </c>
    </row>
    <row r="519" spans="1:7" ht="19.5" customHeight="1" thickTop="1">
      <c r="A519" s="72">
        <v>853</v>
      </c>
      <c r="B519" s="72"/>
      <c r="C519" s="72"/>
      <c r="D519" s="72" t="s">
        <v>229</v>
      </c>
      <c r="E519" s="73"/>
      <c r="F519" s="73"/>
      <c r="G519" s="73">
        <f>G520</f>
        <v>8851</v>
      </c>
    </row>
    <row r="520" spans="1:7" ht="19.5" customHeight="1">
      <c r="A520" s="162"/>
      <c r="B520" s="62">
        <v>85334</v>
      </c>
      <c r="C520" s="62"/>
      <c r="D520" s="39" t="s">
        <v>350</v>
      </c>
      <c r="E520" s="74"/>
      <c r="F520" s="74"/>
      <c r="G520" s="74">
        <f>G521</f>
        <v>8851</v>
      </c>
    </row>
    <row r="521" spans="1:7" ht="19.5" customHeight="1">
      <c r="A521" s="162"/>
      <c r="B521" s="64"/>
      <c r="C521" s="64"/>
      <c r="D521" s="40" t="s">
        <v>351</v>
      </c>
      <c r="E521" s="76"/>
      <c r="F521" s="76"/>
      <c r="G521" s="76">
        <f>G522</f>
        <v>8851</v>
      </c>
    </row>
    <row r="522" spans="1:7" ht="19.5" customHeight="1">
      <c r="A522" s="166"/>
      <c r="B522" s="85"/>
      <c r="C522" s="63">
        <v>3110</v>
      </c>
      <c r="D522" s="78" t="s">
        <v>211</v>
      </c>
      <c r="E522" s="90"/>
      <c r="F522" s="90"/>
      <c r="G522" s="90">
        <v>8851</v>
      </c>
    </row>
    <row r="523" spans="1:8" ht="21.75" customHeight="1">
      <c r="A523" s="162"/>
      <c r="B523" s="162"/>
      <c r="C523" s="162"/>
      <c r="D523" s="163" t="s">
        <v>453</v>
      </c>
      <c r="E523" s="164"/>
      <c r="F523" s="168">
        <f>F524</f>
        <v>51809</v>
      </c>
      <c r="G523" s="168">
        <f>G524</f>
        <v>800565</v>
      </c>
      <c r="H523" s="82">
        <f>G523-F523</f>
        <v>748756</v>
      </c>
    </row>
    <row r="524" spans="1:7" ht="22.5" customHeight="1" thickBot="1">
      <c r="A524" s="85"/>
      <c r="B524" s="85"/>
      <c r="C524" s="85"/>
      <c r="D524" s="79" t="s">
        <v>261</v>
      </c>
      <c r="E524" s="460"/>
      <c r="F524" s="460">
        <f>F525</f>
        <v>51809</v>
      </c>
      <c r="G524" s="460">
        <f>G525+G545+G630</f>
        <v>800565</v>
      </c>
    </row>
    <row r="525" spans="1:8" ht="19.5" customHeight="1" thickTop="1">
      <c r="A525" s="72">
        <v>801</v>
      </c>
      <c r="B525" s="72"/>
      <c r="C525" s="72"/>
      <c r="D525" s="72" t="s">
        <v>226</v>
      </c>
      <c r="E525" s="73"/>
      <c r="F525" s="73">
        <f>F526+F532</f>
        <v>51809</v>
      </c>
      <c r="G525" s="73">
        <f>G526+G532+G541</f>
        <v>31809</v>
      </c>
      <c r="H525" s="82">
        <f>G525-F525</f>
        <v>-20000</v>
      </c>
    </row>
    <row r="526" spans="1:7" ht="19.5" customHeight="1">
      <c r="A526" s="162"/>
      <c r="B526" s="62">
        <v>80101</v>
      </c>
      <c r="C526" s="62"/>
      <c r="D526" s="62" t="s">
        <v>227</v>
      </c>
      <c r="E526" s="74"/>
      <c r="F526" s="74">
        <f>F527</f>
        <v>6306</v>
      </c>
      <c r="G526" s="74">
        <f>G527</f>
        <v>6306</v>
      </c>
    </row>
    <row r="527" spans="1:7" ht="21" customHeight="1">
      <c r="A527" s="162"/>
      <c r="B527" s="162"/>
      <c r="C527" s="162"/>
      <c r="D527" s="749" t="s">
        <v>495</v>
      </c>
      <c r="E527" s="557"/>
      <c r="F527" s="558">
        <f>F528</f>
        <v>6306</v>
      </c>
      <c r="G527" s="558">
        <f>G530</f>
        <v>6306</v>
      </c>
    </row>
    <row r="528" spans="1:7" ht="21" customHeight="1">
      <c r="A528" s="64"/>
      <c r="B528" s="64"/>
      <c r="C528" s="64"/>
      <c r="D528" s="126" t="s">
        <v>276</v>
      </c>
      <c r="E528" s="92"/>
      <c r="F528" s="92">
        <f>F529</f>
        <v>6306</v>
      </c>
      <c r="G528" s="92"/>
    </row>
    <row r="529" spans="1:7" ht="21" customHeight="1">
      <c r="A529" s="162"/>
      <c r="B529" s="64"/>
      <c r="C529" s="63">
        <v>4260</v>
      </c>
      <c r="D529" s="476" t="s">
        <v>264</v>
      </c>
      <c r="E529" s="75"/>
      <c r="F529" s="75">
        <v>6306</v>
      </c>
      <c r="G529" s="75"/>
    </row>
    <row r="530" spans="1:7" ht="21" customHeight="1">
      <c r="A530" s="64"/>
      <c r="B530" s="64"/>
      <c r="C530" s="64"/>
      <c r="D530" s="64" t="s">
        <v>1</v>
      </c>
      <c r="E530" s="222"/>
      <c r="F530" s="222"/>
      <c r="G530" s="222">
        <f>G531</f>
        <v>6306</v>
      </c>
    </row>
    <row r="531" spans="1:7" ht="21" customHeight="1">
      <c r="A531" s="162"/>
      <c r="B531" s="85"/>
      <c r="C531" s="63">
        <v>6060</v>
      </c>
      <c r="D531" s="560" t="s">
        <v>267</v>
      </c>
      <c r="E531" s="90"/>
      <c r="F531" s="90"/>
      <c r="G531" s="90">
        <v>6306</v>
      </c>
    </row>
    <row r="532" spans="1:8" ht="18" customHeight="1">
      <c r="A532" s="162"/>
      <c r="B532" s="62">
        <v>80110</v>
      </c>
      <c r="C532" s="62"/>
      <c r="D532" s="62" t="s">
        <v>297</v>
      </c>
      <c r="E532" s="74"/>
      <c r="F532" s="74">
        <f>F533+F536</f>
        <v>45503</v>
      </c>
      <c r="G532" s="74">
        <f>G536</f>
        <v>17503</v>
      </c>
      <c r="H532" s="82">
        <f>F532-G532</f>
        <v>28000</v>
      </c>
    </row>
    <row r="533" spans="1:7" ht="18" customHeight="1">
      <c r="A533" s="162"/>
      <c r="B533" s="162"/>
      <c r="C533" s="162"/>
      <c r="D533" s="750" t="s">
        <v>497</v>
      </c>
      <c r="E533" s="162"/>
      <c r="F533" s="559">
        <f>F534</f>
        <v>33350</v>
      </c>
      <c r="G533" s="559"/>
    </row>
    <row r="534" spans="1:7" ht="18" customHeight="1">
      <c r="A534" s="64"/>
      <c r="B534" s="64"/>
      <c r="C534" s="64"/>
      <c r="D534" s="64" t="s">
        <v>35</v>
      </c>
      <c r="E534" s="561"/>
      <c r="F534" s="561">
        <f>F535</f>
        <v>33350</v>
      </c>
      <c r="G534" s="561"/>
    </row>
    <row r="535" spans="1:7" ht="18" customHeight="1">
      <c r="A535" s="162"/>
      <c r="B535" s="64"/>
      <c r="C535" s="63">
        <v>6050</v>
      </c>
      <c r="D535" s="560" t="s">
        <v>263</v>
      </c>
      <c r="E535" s="90"/>
      <c r="F535" s="90">
        <v>33350</v>
      </c>
      <c r="G535" s="90"/>
    </row>
    <row r="536" spans="1:7" ht="18" customHeight="1">
      <c r="A536" s="162"/>
      <c r="B536" s="162"/>
      <c r="C536" s="162"/>
      <c r="D536" s="750" t="s">
        <v>500</v>
      </c>
      <c r="E536" s="511"/>
      <c r="F536" s="512">
        <f>F539</f>
        <v>12153</v>
      </c>
      <c r="G536" s="512">
        <f>G537</f>
        <v>17503</v>
      </c>
    </row>
    <row r="537" spans="1:7" ht="18.75" customHeight="1">
      <c r="A537" s="64"/>
      <c r="B537" s="64"/>
      <c r="C537" s="64"/>
      <c r="D537" s="126" t="s">
        <v>276</v>
      </c>
      <c r="E537" s="92"/>
      <c r="F537" s="92"/>
      <c r="G537" s="92">
        <f>G538</f>
        <v>17503</v>
      </c>
    </row>
    <row r="538" spans="1:7" ht="18.75" customHeight="1">
      <c r="A538" s="162"/>
      <c r="B538" s="64"/>
      <c r="C538" s="63">
        <v>4270</v>
      </c>
      <c r="D538" s="476" t="s">
        <v>366</v>
      </c>
      <c r="E538" s="75"/>
      <c r="F538" s="75"/>
      <c r="G538" s="75">
        <v>17503</v>
      </c>
    </row>
    <row r="539" spans="1:7" ht="18.75" customHeight="1">
      <c r="A539" s="64"/>
      <c r="B539" s="64"/>
      <c r="C539" s="64"/>
      <c r="D539" s="64" t="s">
        <v>35</v>
      </c>
      <c r="E539" s="222"/>
      <c r="F539" s="222">
        <f>F540</f>
        <v>12153</v>
      </c>
      <c r="G539" s="222"/>
    </row>
    <row r="540" spans="1:7" ht="18.75" customHeight="1">
      <c r="A540" s="162"/>
      <c r="B540" s="85"/>
      <c r="C540" s="63">
        <v>6050</v>
      </c>
      <c r="D540" s="560" t="s">
        <v>263</v>
      </c>
      <c r="E540" s="90"/>
      <c r="F540" s="90">
        <v>12153</v>
      </c>
      <c r="G540" s="90"/>
    </row>
    <row r="541" spans="1:8" ht="18.75" customHeight="1">
      <c r="A541" s="162"/>
      <c r="B541" s="62">
        <v>80130</v>
      </c>
      <c r="C541" s="62"/>
      <c r="D541" s="62" t="s">
        <v>298</v>
      </c>
      <c r="E541" s="74"/>
      <c r="F541" s="74"/>
      <c r="G541" s="74">
        <f>G542</f>
        <v>8000</v>
      </c>
      <c r="H541" s="82">
        <f>F541-G541</f>
        <v>-8000</v>
      </c>
    </row>
    <row r="542" spans="1:7" ht="18.75" customHeight="1">
      <c r="A542" s="162"/>
      <c r="B542" s="162"/>
      <c r="C542" s="162"/>
      <c r="D542" s="750" t="s">
        <v>46</v>
      </c>
      <c r="E542" s="162"/>
      <c r="F542" s="559"/>
      <c r="G542" s="559">
        <f>G543</f>
        <v>8000</v>
      </c>
    </row>
    <row r="543" spans="1:7" ht="18.75" customHeight="1">
      <c r="A543" s="64"/>
      <c r="B543" s="64"/>
      <c r="C543" s="64"/>
      <c r="D543" s="64" t="s">
        <v>276</v>
      </c>
      <c r="E543" s="561"/>
      <c r="F543" s="561"/>
      <c r="G543" s="561">
        <f>G544</f>
        <v>8000</v>
      </c>
    </row>
    <row r="544" spans="1:7" ht="18.75" customHeight="1">
      <c r="A544" s="162"/>
      <c r="B544" s="64"/>
      <c r="C544" s="63">
        <v>4270</v>
      </c>
      <c r="D544" s="560" t="s">
        <v>366</v>
      </c>
      <c r="E544" s="90"/>
      <c r="F544" s="90"/>
      <c r="G544" s="90">
        <v>8000</v>
      </c>
    </row>
    <row r="545" spans="1:7" ht="18.75" customHeight="1">
      <c r="A545" s="67">
        <v>851</v>
      </c>
      <c r="B545" s="67"/>
      <c r="C545" s="72"/>
      <c r="D545" s="72" t="s">
        <v>228</v>
      </c>
      <c r="E545" s="73"/>
      <c r="F545" s="73"/>
      <c r="G545" s="73">
        <f>G546+G582+G583</f>
        <v>717456</v>
      </c>
    </row>
    <row r="546" spans="1:7" ht="18.75" customHeight="1">
      <c r="A546" s="162"/>
      <c r="B546" s="62">
        <v>85153</v>
      </c>
      <c r="C546" s="62"/>
      <c r="D546" s="62" t="s">
        <v>401</v>
      </c>
      <c r="E546" s="74"/>
      <c r="F546" s="74"/>
      <c r="G546" s="74">
        <f>G547</f>
        <v>26000</v>
      </c>
    </row>
    <row r="547" spans="1:7" ht="27" customHeight="1">
      <c r="A547" s="162"/>
      <c r="B547" s="162"/>
      <c r="C547" s="64"/>
      <c r="D547" s="135" t="s">
        <v>403</v>
      </c>
      <c r="E547" s="136"/>
      <c r="F547" s="136"/>
      <c r="G547" s="136">
        <f>G548+G551</f>
        <v>26000</v>
      </c>
    </row>
    <row r="548" spans="1:7" ht="19.5" customHeight="1">
      <c r="A548" s="162"/>
      <c r="B548" s="162"/>
      <c r="C548" s="61"/>
      <c r="D548" s="475" t="s">
        <v>404</v>
      </c>
      <c r="E548" s="477"/>
      <c r="F548" s="477"/>
      <c r="G548" s="138">
        <f>G549</f>
        <v>300</v>
      </c>
    </row>
    <row r="549" spans="1:7" ht="27" customHeight="1">
      <c r="A549" s="166"/>
      <c r="B549" s="166"/>
      <c r="C549" s="166"/>
      <c r="D549" s="753" t="s">
        <v>114</v>
      </c>
      <c r="E549" s="751"/>
      <c r="F549" s="751"/>
      <c r="G549" s="752">
        <f>SUM(G550:G550)</f>
        <v>300</v>
      </c>
    </row>
    <row r="550" spans="1:7" ht="18" customHeight="1">
      <c r="A550" s="162"/>
      <c r="B550" s="64"/>
      <c r="C550" s="63">
        <v>4210</v>
      </c>
      <c r="D550" s="78" t="s">
        <v>270</v>
      </c>
      <c r="E550" s="75"/>
      <c r="F550" s="75"/>
      <c r="G550" s="75">
        <v>300</v>
      </c>
    </row>
    <row r="551" spans="1:7" s="83" customFormat="1" ht="18" customHeight="1">
      <c r="A551" s="64"/>
      <c r="B551" s="64"/>
      <c r="C551" s="64"/>
      <c r="D551" s="602" t="s">
        <v>407</v>
      </c>
      <c r="E551" s="76"/>
      <c r="F551" s="76"/>
      <c r="G551" s="76">
        <f>G552+G557+G559+G561+G566+G571+G573+G579</f>
        <v>25700</v>
      </c>
    </row>
    <row r="552" spans="1:7" ht="19.5" customHeight="1">
      <c r="A552" s="162"/>
      <c r="B552" s="162"/>
      <c r="C552" s="162"/>
      <c r="D552" s="754" t="s">
        <v>485</v>
      </c>
      <c r="E552" s="162"/>
      <c r="F552" s="162"/>
      <c r="G552" s="559">
        <f>SUM(G553:G556)</f>
        <v>5300</v>
      </c>
    </row>
    <row r="553" spans="1:7" ht="21" customHeight="1">
      <c r="A553" s="162"/>
      <c r="B553" s="64"/>
      <c r="C553" s="63">
        <v>4110</v>
      </c>
      <c r="D553" s="566" t="s">
        <v>268</v>
      </c>
      <c r="E553" s="134"/>
      <c r="F553" s="134"/>
      <c r="G553" s="134">
        <v>216</v>
      </c>
    </row>
    <row r="554" spans="1:7" ht="21" customHeight="1">
      <c r="A554" s="162"/>
      <c r="B554" s="64"/>
      <c r="C554" s="125">
        <v>4120</v>
      </c>
      <c r="D554" s="476" t="s">
        <v>269</v>
      </c>
      <c r="E554" s="134"/>
      <c r="F554" s="134"/>
      <c r="G554" s="134">
        <v>30</v>
      </c>
    </row>
    <row r="555" spans="1:7" ht="21" customHeight="1">
      <c r="A555" s="162"/>
      <c r="B555" s="64"/>
      <c r="C555" s="63">
        <v>4210</v>
      </c>
      <c r="D555" s="566" t="s">
        <v>270</v>
      </c>
      <c r="E555" s="134"/>
      <c r="F555" s="134"/>
      <c r="G555" s="134">
        <v>500</v>
      </c>
    </row>
    <row r="556" spans="1:7" ht="21" customHeight="1">
      <c r="A556" s="162"/>
      <c r="B556" s="64"/>
      <c r="C556" s="63">
        <v>4300</v>
      </c>
      <c r="D556" s="566" t="s">
        <v>262</v>
      </c>
      <c r="E556" s="134"/>
      <c r="F556" s="134"/>
      <c r="G556" s="134">
        <v>4554</v>
      </c>
    </row>
    <row r="557" spans="1:7" ht="19.5" customHeight="1">
      <c r="A557" s="162"/>
      <c r="B557" s="162"/>
      <c r="C557" s="162"/>
      <c r="D557" s="755" t="s">
        <v>492</v>
      </c>
      <c r="E557" s="564"/>
      <c r="F557" s="564"/>
      <c r="G557" s="565">
        <f>SUM(G558:G558)</f>
        <v>5500</v>
      </c>
    </row>
    <row r="558" spans="1:7" ht="21" customHeight="1">
      <c r="A558" s="162"/>
      <c r="B558" s="64"/>
      <c r="C558" s="63">
        <v>4300</v>
      </c>
      <c r="D558" s="566" t="s">
        <v>262</v>
      </c>
      <c r="E558" s="134"/>
      <c r="F558" s="134"/>
      <c r="G558" s="134">
        <v>5500</v>
      </c>
    </row>
    <row r="559" spans="1:7" ht="19.5" customHeight="1">
      <c r="A559" s="162"/>
      <c r="B559" s="162"/>
      <c r="C559" s="162"/>
      <c r="D559" s="750" t="s">
        <v>36</v>
      </c>
      <c r="E559" s="511"/>
      <c r="F559" s="511"/>
      <c r="G559" s="512">
        <f>SUM(G560:G560)</f>
        <v>1600</v>
      </c>
    </row>
    <row r="560" spans="1:7" ht="18" customHeight="1">
      <c r="A560" s="162"/>
      <c r="B560" s="64"/>
      <c r="C560" s="63">
        <v>4300</v>
      </c>
      <c r="D560" s="566" t="s">
        <v>262</v>
      </c>
      <c r="E560" s="134"/>
      <c r="F560" s="134"/>
      <c r="G560" s="134">
        <v>1600</v>
      </c>
    </row>
    <row r="561" spans="1:7" ht="19.5" customHeight="1">
      <c r="A561" s="162"/>
      <c r="B561" s="162"/>
      <c r="C561" s="162"/>
      <c r="D561" s="750" t="s">
        <v>349</v>
      </c>
      <c r="E561" s="478"/>
      <c r="F561" s="478"/>
      <c r="G561" s="479">
        <f>SUM(G562:G565)</f>
        <v>5000</v>
      </c>
    </row>
    <row r="562" spans="1:7" ht="18" customHeight="1">
      <c r="A562" s="162"/>
      <c r="B562" s="64"/>
      <c r="C562" s="63">
        <v>4110</v>
      </c>
      <c r="D562" s="476" t="s">
        <v>268</v>
      </c>
      <c r="E562" s="134"/>
      <c r="F562" s="134"/>
      <c r="G562" s="134">
        <v>560</v>
      </c>
    </row>
    <row r="563" spans="1:7" ht="18" customHeight="1">
      <c r="A563" s="162"/>
      <c r="B563" s="64"/>
      <c r="C563" s="125">
        <v>4120</v>
      </c>
      <c r="D563" s="476" t="s">
        <v>269</v>
      </c>
      <c r="E563" s="134"/>
      <c r="F563" s="134"/>
      <c r="G563" s="134">
        <v>90</v>
      </c>
    </row>
    <row r="564" spans="1:7" ht="18" customHeight="1">
      <c r="A564" s="162"/>
      <c r="B564" s="64"/>
      <c r="C564" s="63">
        <v>4210</v>
      </c>
      <c r="D564" s="566" t="s">
        <v>270</v>
      </c>
      <c r="E564" s="134"/>
      <c r="F564" s="134"/>
      <c r="G564" s="134">
        <v>300</v>
      </c>
    </row>
    <row r="565" spans="1:7" ht="18" customHeight="1">
      <c r="A565" s="162"/>
      <c r="B565" s="64"/>
      <c r="C565" s="63">
        <v>4300</v>
      </c>
      <c r="D565" s="566" t="s">
        <v>262</v>
      </c>
      <c r="E565" s="134"/>
      <c r="F565" s="134"/>
      <c r="G565" s="134">
        <v>4050</v>
      </c>
    </row>
    <row r="566" spans="1:7" ht="19.5" customHeight="1">
      <c r="A566" s="162"/>
      <c r="B566" s="162"/>
      <c r="C566" s="162"/>
      <c r="D566" s="750" t="s">
        <v>115</v>
      </c>
      <c r="E566" s="511"/>
      <c r="F566" s="511"/>
      <c r="G566" s="512">
        <f>SUM(G567:G570)</f>
        <v>1500</v>
      </c>
    </row>
    <row r="567" spans="1:7" ht="18" customHeight="1">
      <c r="A567" s="162"/>
      <c r="B567" s="64"/>
      <c r="C567" s="63">
        <v>4110</v>
      </c>
      <c r="D567" s="476" t="s">
        <v>268</v>
      </c>
      <c r="E567" s="134"/>
      <c r="F567" s="134"/>
      <c r="G567" s="134">
        <v>195</v>
      </c>
    </row>
    <row r="568" spans="1:7" ht="18" customHeight="1">
      <c r="A568" s="162"/>
      <c r="B568" s="64"/>
      <c r="C568" s="125">
        <v>4120</v>
      </c>
      <c r="D568" s="476" t="s">
        <v>269</v>
      </c>
      <c r="E568" s="134"/>
      <c r="F568" s="134"/>
      <c r="G568" s="134">
        <v>26</v>
      </c>
    </row>
    <row r="569" spans="1:7" ht="18" customHeight="1">
      <c r="A569" s="162"/>
      <c r="B569" s="64"/>
      <c r="C569" s="63">
        <v>4210</v>
      </c>
      <c r="D569" s="78" t="s">
        <v>270</v>
      </c>
      <c r="E569" s="75"/>
      <c r="F569" s="75"/>
      <c r="G569" s="75">
        <v>200</v>
      </c>
    </row>
    <row r="570" spans="1:7" ht="18" customHeight="1">
      <c r="A570" s="162"/>
      <c r="B570" s="64"/>
      <c r="C570" s="63">
        <v>4300</v>
      </c>
      <c r="D570" s="566" t="s">
        <v>262</v>
      </c>
      <c r="E570" s="134"/>
      <c r="F570" s="134"/>
      <c r="G570" s="134">
        <v>1079</v>
      </c>
    </row>
    <row r="571" spans="1:7" ht="19.5" customHeight="1">
      <c r="A571" s="162"/>
      <c r="B571" s="162"/>
      <c r="C571" s="162"/>
      <c r="D571" s="750" t="s">
        <v>368</v>
      </c>
      <c r="E571" s="511"/>
      <c r="F571" s="511"/>
      <c r="G571" s="512">
        <f>SUM(G572:G572)</f>
        <v>600</v>
      </c>
    </row>
    <row r="572" spans="1:7" ht="18" customHeight="1">
      <c r="A572" s="162"/>
      <c r="B572" s="64"/>
      <c r="C572" s="63">
        <v>4210</v>
      </c>
      <c r="D572" s="566" t="s">
        <v>270</v>
      </c>
      <c r="E572" s="134"/>
      <c r="F572" s="134"/>
      <c r="G572" s="134">
        <v>600</v>
      </c>
    </row>
    <row r="573" spans="1:7" ht="19.5" customHeight="1">
      <c r="A573" s="162"/>
      <c r="B573" s="162"/>
      <c r="C573" s="162"/>
      <c r="D573" s="750" t="s">
        <v>116</v>
      </c>
      <c r="E573" s="511"/>
      <c r="F573" s="511"/>
      <c r="G573" s="512">
        <f>SUM(G574:G578)</f>
        <v>5000</v>
      </c>
    </row>
    <row r="574" spans="1:7" ht="18" customHeight="1">
      <c r="A574" s="162"/>
      <c r="B574" s="64"/>
      <c r="C574" s="63">
        <v>3020</v>
      </c>
      <c r="D574" s="476" t="s">
        <v>277</v>
      </c>
      <c r="E574" s="134"/>
      <c r="F574" s="134"/>
      <c r="G574" s="134">
        <v>500</v>
      </c>
    </row>
    <row r="575" spans="1:7" ht="18" customHeight="1">
      <c r="A575" s="162"/>
      <c r="B575" s="64"/>
      <c r="C575" s="63">
        <v>4110</v>
      </c>
      <c r="D575" s="476" t="s">
        <v>268</v>
      </c>
      <c r="E575" s="134"/>
      <c r="F575" s="134"/>
      <c r="G575" s="134">
        <v>408</v>
      </c>
    </row>
    <row r="576" spans="1:7" ht="18" customHeight="1">
      <c r="A576" s="162"/>
      <c r="B576" s="64"/>
      <c r="C576" s="125">
        <v>4120</v>
      </c>
      <c r="D576" s="476" t="s">
        <v>269</v>
      </c>
      <c r="E576" s="134"/>
      <c r="F576" s="134"/>
      <c r="G576" s="134">
        <v>57</v>
      </c>
    </row>
    <row r="577" spans="1:7" ht="18" customHeight="1">
      <c r="A577" s="162"/>
      <c r="B577" s="64"/>
      <c r="C577" s="63">
        <v>4210</v>
      </c>
      <c r="D577" s="566" t="s">
        <v>270</v>
      </c>
      <c r="E577" s="134"/>
      <c r="F577" s="134"/>
      <c r="G577" s="134">
        <v>400</v>
      </c>
    </row>
    <row r="578" spans="1:7" ht="18" customHeight="1">
      <c r="A578" s="166"/>
      <c r="B578" s="85"/>
      <c r="C578" s="63">
        <v>4300</v>
      </c>
      <c r="D578" s="566" t="s">
        <v>262</v>
      </c>
      <c r="E578" s="134"/>
      <c r="F578" s="134"/>
      <c r="G578" s="134">
        <v>3635</v>
      </c>
    </row>
    <row r="579" spans="1:7" ht="19.5" customHeight="1">
      <c r="A579" s="162"/>
      <c r="B579" s="162"/>
      <c r="C579" s="162"/>
      <c r="D579" s="750" t="s">
        <v>46</v>
      </c>
      <c r="E579" s="511"/>
      <c r="F579" s="511"/>
      <c r="G579" s="512">
        <f>SUM(G580:G581)</f>
        <v>1200</v>
      </c>
    </row>
    <row r="580" spans="1:7" ht="18" customHeight="1">
      <c r="A580" s="162"/>
      <c r="B580" s="64"/>
      <c r="C580" s="63">
        <v>4240</v>
      </c>
      <c r="D580" s="566" t="s">
        <v>200</v>
      </c>
      <c r="E580" s="134"/>
      <c r="F580" s="134"/>
      <c r="G580" s="134">
        <v>200</v>
      </c>
    </row>
    <row r="581" spans="1:7" ht="18" customHeight="1">
      <c r="A581" s="162"/>
      <c r="B581" s="64"/>
      <c r="C581" s="63">
        <v>4300</v>
      </c>
      <c r="D581" s="566" t="s">
        <v>262</v>
      </c>
      <c r="E581" s="134"/>
      <c r="F581" s="134"/>
      <c r="G581" s="134">
        <v>1000</v>
      </c>
    </row>
    <row r="582" spans="1:7" ht="20.25" customHeight="1">
      <c r="A582" s="162"/>
      <c r="B582" s="71">
        <v>85154</v>
      </c>
      <c r="C582" s="62"/>
      <c r="D582" s="62" t="s">
        <v>246</v>
      </c>
      <c r="E582" s="74"/>
      <c r="F582" s="74"/>
      <c r="G582" s="74">
        <f>540340+37316</f>
        <v>577656</v>
      </c>
    </row>
    <row r="583" spans="1:7" ht="19.5" customHeight="1">
      <c r="A583" s="162"/>
      <c r="B583" s="62">
        <v>85195</v>
      </c>
      <c r="C583" s="62"/>
      <c r="D583" s="62" t="s">
        <v>225</v>
      </c>
      <c r="E583" s="74"/>
      <c r="F583" s="74"/>
      <c r="G583" s="74">
        <f>G584</f>
        <v>113800</v>
      </c>
    </row>
    <row r="584" spans="1:7" ht="27" customHeight="1">
      <c r="A584" s="162"/>
      <c r="B584" s="162"/>
      <c r="C584" s="64"/>
      <c r="D584" s="135" t="s">
        <v>107</v>
      </c>
      <c r="E584" s="136"/>
      <c r="F584" s="136"/>
      <c r="G584" s="136">
        <f>G585+G599+G619</f>
        <v>113800</v>
      </c>
    </row>
    <row r="585" spans="1:7" ht="27.75" customHeight="1">
      <c r="A585" s="162"/>
      <c r="B585" s="162"/>
      <c r="C585" s="61"/>
      <c r="D585" s="475" t="s">
        <v>108</v>
      </c>
      <c r="E585" s="477"/>
      <c r="F585" s="477"/>
      <c r="G585" s="138">
        <f>G586+G590+G594+G597</f>
        <v>43000</v>
      </c>
    </row>
    <row r="586" spans="1:7" ht="27.75" customHeight="1">
      <c r="A586" s="162"/>
      <c r="B586" s="162"/>
      <c r="C586" s="162"/>
      <c r="D586" s="756" t="s">
        <v>363</v>
      </c>
      <c r="E586" s="478"/>
      <c r="F586" s="478"/>
      <c r="G586" s="479">
        <f>G587+G588+G589</f>
        <v>18000</v>
      </c>
    </row>
    <row r="587" spans="1:7" ht="18" customHeight="1">
      <c r="A587" s="162"/>
      <c r="B587" s="64"/>
      <c r="C587" s="63">
        <v>4210</v>
      </c>
      <c r="D587" s="476" t="s">
        <v>270</v>
      </c>
      <c r="E587" s="75"/>
      <c r="F587" s="75"/>
      <c r="G587" s="75">
        <v>9400</v>
      </c>
    </row>
    <row r="588" spans="1:7" ht="18" customHeight="1">
      <c r="A588" s="162"/>
      <c r="B588" s="64"/>
      <c r="C588" s="125">
        <v>4240</v>
      </c>
      <c r="D588" s="517" t="s">
        <v>200</v>
      </c>
      <c r="E588" s="124"/>
      <c r="F588" s="124"/>
      <c r="G588" s="124">
        <v>7600</v>
      </c>
    </row>
    <row r="589" spans="1:7" ht="18" customHeight="1">
      <c r="A589" s="162"/>
      <c r="B589" s="64"/>
      <c r="C589" s="125">
        <v>4300</v>
      </c>
      <c r="D589" s="517" t="s">
        <v>262</v>
      </c>
      <c r="E589" s="124"/>
      <c r="F589" s="124"/>
      <c r="G589" s="124">
        <v>1000</v>
      </c>
    </row>
    <row r="590" spans="1:7" ht="19.5" customHeight="1">
      <c r="A590" s="162"/>
      <c r="B590" s="162"/>
      <c r="C590" s="162"/>
      <c r="D590" s="750" t="s">
        <v>109</v>
      </c>
      <c r="E590" s="511"/>
      <c r="F590" s="511"/>
      <c r="G590" s="512">
        <f>SUM(G591:G593)</f>
        <v>5000</v>
      </c>
    </row>
    <row r="591" spans="1:7" ht="18" customHeight="1">
      <c r="A591" s="162"/>
      <c r="B591" s="64"/>
      <c r="C591" s="63">
        <v>4110</v>
      </c>
      <c r="D591" s="476" t="s">
        <v>268</v>
      </c>
      <c r="E591" s="75"/>
      <c r="F591" s="75"/>
      <c r="G591" s="75">
        <v>835</v>
      </c>
    </row>
    <row r="592" spans="1:7" ht="18" customHeight="1">
      <c r="A592" s="162"/>
      <c r="B592" s="64"/>
      <c r="C592" s="125">
        <v>4120</v>
      </c>
      <c r="D592" s="476" t="s">
        <v>269</v>
      </c>
      <c r="E592" s="75"/>
      <c r="F592" s="75"/>
      <c r="G592" s="75">
        <v>100</v>
      </c>
    </row>
    <row r="593" spans="1:7" ht="18" customHeight="1">
      <c r="A593" s="162"/>
      <c r="B593" s="64"/>
      <c r="C593" s="125">
        <v>4300</v>
      </c>
      <c r="D593" s="517" t="s">
        <v>262</v>
      </c>
      <c r="E593" s="124"/>
      <c r="F593" s="124"/>
      <c r="G593" s="124">
        <v>4065</v>
      </c>
    </row>
    <row r="594" spans="1:7" ht="19.5" customHeight="1">
      <c r="A594" s="162"/>
      <c r="B594" s="162"/>
      <c r="C594" s="162"/>
      <c r="D594" s="749" t="s">
        <v>517</v>
      </c>
      <c r="E594" s="478"/>
      <c r="F594" s="478"/>
      <c r="G594" s="479">
        <f>SUM(G595:G596)</f>
        <v>10000</v>
      </c>
    </row>
    <row r="595" spans="1:7" ht="18" customHeight="1">
      <c r="A595" s="162"/>
      <c r="B595" s="64"/>
      <c r="C595" s="63">
        <v>4210</v>
      </c>
      <c r="D595" s="476" t="s">
        <v>270</v>
      </c>
      <c r="E595" s="75"/>
      <c r="F595" s="75"/>
      <c r="G595" s="75">
        <v>5000</v>
      </c>
    </row>
    <row r="596" spans="1:7" ht="18" customHeight="1">
      <c r="A596" s="162"/>
      <c r="B596" s="64"/>
      <c r="C596" s="125">
        <v>4300</v>
      </c>
      <c r="D596" s="476" t="s">
        <v>262</v>
      </c>
      <c r="E596" s="75"/>
      <c r="F596" s="75"/>
      <c r="G596" s="75">
        <v>5000</v>
      </c>
    </row>
    <row r="597" spans="1:7" ht="19.5" customHeight="1">
      <c r="A597" s="162"/>
      <c r="B597" s="162"/>
      <c r="C597" s="162"/>
      <c r="D597" s="750" t="s">
        <v>37</v>
      </c>
      <c r="E597" s="511"/>
      <c r="F597" s="511"/>
      <c r="G597" s="512">
        <f>G598</f>
        <v>10000</v>
      </c>
    </row>
    <row r="598" spans="1:7" ht="18" customHeight="1">
      <c r="A598" s="162"/>
      <c r="B598" s="64"/>
      <c r="C598" s="63">
        <v>4210</v>
      </c>
      <c r="D598" s="476" t="s">
        <v>270</v>
      </c>
      <c r="E598" s="75"/>
      <c r="F598" s="75"/>
      <c r="G598" s="75">
        <v>10000</v>
      </c>
    </row>
    <row r="599" spans="1:7" ht="27" customHeight="1">
      <c r="A599" s="162"/>
      <c r="B599" s="64"/>
      <c r="C599" s="61"/>
      <c r="D599" s="650" t="s">
        <v>23</v>
      </c>
      <c r="E599" s="76"/>
      <c r="F599" s="76"/>
      <c r="G599" s="76">
        <f>G600+G602+G607+G613+G616</f>
        <v>58600</v>
      </c>
    </row>
    <row r="600" spans="1:7" ht="27.75" customHeight="1">
      <c r="A600" s="162"/>
      <c r="B600" s="162"/>
      <c r="C600" s="162"/>
      <c r="D600" s="757" t="s">
        <v>363</v>
      </c>
      <c r="E600" s="511"/>
      <c r="F600" s="511"/>
      <c r="G600" s="512">
        <f>G601</f>
        <v>5600</v>
      </c>
    </row>
    <row r="601" spans="1:7" ht="18" customHeight="1">
      <c r="A601" s="162"/>
      <c r="B601" s="64"/>
      <c r="C601" s="63">
        <v>4240</v>
      </c>
      <c r="D601" s="476" t="s">
        <v>200</v>
      </c>
      <c r="E601" s="75"/>
      <c r="F601" s="75"/>
      <c r="G601" s="75">
        <v>5600</v>
      </c>
    </row>
    <row r="602" spans="1:7" ht="19.5" customHeight="1">
      <c r="A602" s="162"/>
      <c r="B602" s="162"/>
      <c r="C602" s="162"/>
      <c r="D602" s="750" t="s">
        <v>112</v>
      </c>
      <c r="E602" s="511"/>
      <c r="F602" s="511"/>
      <c r="G602" s="512">
        <f>SUM(G603:G606)</f>
        <v>10000</v>
      </c>
    </row>
    <row r="603" spans="1:7" ht="18" customHeight="1">
      <c r="A603" s="162"/>
      <c r="B603" s="64"/>
      <c r="C603" s="63">
        <v>4110</v>
      </c>
      <c r="D603" s="476" t="s">
        <v>268</v>
      </c>
      <c r="E603" s="75"/>
      <c r="F603" s="75"/>
      <c r="G603" s="75">
        <v>1454</v>
      </c>
    </row>
    <row r="604" spans="1:7" ht="18" customHeight="1">
      <c r="A604" s="162"/>
      <c r="B604" s="64"/>
      <c r="C604" s="125">
        <v>4120</v>
      </c>
      <c r="D604" s="476" t="s">
        <v>269</v>
      </c>
      <c r="E604" s="75"/>
      <c r="F604" s="75"/>
      <c r="G604" s="75">
        <v>199</v>
      </c>
    </row>
    <row r="605" spans="1:7" ht="18" customHeight="1">
      <c r="A605" s="166"/>
      <c r="B605" s="85"/>
      <c r="C605" s="63">
        <v>4210</v>
      </c>
      <c r="D605" s="476" t="s">
        <v>270</v>
      </c>
      <c r="E605" s="75"/>
      <c r="F605" s="75"/>
      <c r="G605" s="75">
        <v>267</v>
      </c>
    </row>
    <row r="606" spans="1:7" ht="18" customHeight="1">
      <c r="A606" s="162"/>
      <c r="B606" s="64"/>
      <c r="C606" s="63">
        <v>4300</v>
      </c>
      <c r="D606" s="476" t="s">
        <v>262</v>
      </c>
      <c r="E606" s="75"/>
      <c r="F606" s="75"/>
      <c r="G606" s="75">
        <v>8080</v>
      </c>
    </row>
    <row r="607" spans="1:7" ht="19.5" customHeight="1">
      <c r="A607" s="162"/>
      <c r="B607" s="162"/>
      <c r="C607" s="162"/>
      <c r="D607" s="749" t="s">
        <v>38</v>
      </c>
      <c r="E607" s="478"/>
      <c r="F607" s="478"/>
      <c r="G607" s="479">
        <f>SUM(G608:G612)</f>
        <v>36000</v>
      </c>
    </row>
    <row r="608" spans="1:7" ht="18" customHeight="1">
      <c r="A608" s="162"/>
      <c r="B608" s="64"/>
      <c r="C608" s="63">
        <v>4110</v>
      </c>
      <c r="D608" s="476" t="s">
        <v>268</v>
      </c>
      <c r="E608" s="75"/>
      <c r="F608" s="75"/>
      <c r="G608" s="75">
        <v>4256</v>
      </c>
    </row>
    <row r="609" spans="1:7" ht="18" customHeight="1">
      <c r="A609" s="162"/>
      <c r="B609" s="64"/>
      <c r="C609" s="125">
        <v>4120</v>
      </c>
      <c r="D609" s="476" t="s">
        <v>269</v>
      </c>
      <c r="E609" s="75"/>
      <c r="F609" s="75"/>
      <c r="G609" s="75">
        <v>588</v>
      </c>
    </row>
    <row r="610" spans="1:7" ht="18" customHeight="1">
      <c r="A610" s="162"/>
      <c r="B610" s="64"/>
      <c r="C610" s="63">
        <v>4210</v>
      </c>
      <c r="D610" s="476" t="s">
        <v>270</v>
      </c>
      <c r="E610" s="75"/>
      <c r="F610" s="75"/>
      <c r="G610" s="75">
        <v>3556</v>
      </c>
    </row>
    <row r="611" spans="1:7" ht="18" customHeight="1">
      <c r="A611" s="162"/>
      <c r="B611" s="64"/>
      <c r="C611" s="125">
        <v>4260</v>
      </c>
      <c r="D611" s="517" t="s">
        <v>264</v>
      </c>
      <c r="E611" s="124"/>
      <c r="F611" s="124"/>
      <c r="G611" s="124">
        <v>3200</v>
      </c>
    </row>
    <row r="612" spans="1:7" ht="18" customHeight="1">
      <c r="A612" s="162"/>
      <c r="B612" s="64"/>
      <c r="C612" s="125">
        <v>4300</v>
      </c>
      <c r="D612" s="517" t="s">
        <v>262</v>
      </c>
      <c r="E612" s="124"/>
      <c r="F612" s="124"/>
      <c r="G612" s="124">
        <v>24400</v>
      </c>
    </row>
    <row r="613" spans="1:7" ht="16.5" customHeight="1">
      <c r="A613" s="162"/>
      <c r="B613" s="162"/>
      <c r="C613" s="162"/>
      <c r="D613" s="749" t="s">
        <v>467</v>
      </c>
      <c r="E613" s="478"/>
      <c r="F613" s="478"/>
      <c r="G613" s="479">
        <f>SUM(G614:G615)</f>
        <v>5000</v>
      </c>
    </row>
    <row r="614" spans="1:7" ht="18" customHeight="1">
      <c r="A614" s="162"/>
      <c r="B614" s="64"/>
      <c r="C614" s="63">
        <v>4210</v>
      </c>
      <c r="D614" s="476" t="s">
        <v>270</v>
      </c>
      <c r="E614" s="75"/>
      <c r="F614" s="75"/>
      <c r="G614" s="75">
        <v>2600</v>
      </c>
    </row>
    <row r="615" spans="1:7" ht="18" customHeight="1">
      <c r="A615" s="162"/>
      <c r="B615" s="64"/>
      <c r="C615" s="125">
        <v>4300</v>
      </c>
      <c r="D615" s="476" t="s">
        <v>262</v>
      </c>
      <c r="E615" s="75"/>
      <c r="F615" s="75"/>
      <c r="G615" s="75">
        <v>2400</v>
      </c>
    </row>
    <row r="616" spans="1:7" ht="16.5" customHeight="1">
      <c r="A616" s="162"/>
      <c r="B616" s="162"/>
      <c r="C616" s="162"/>
      <c r="D616" s="749" t="s">
        <v>39</v>
      </c>
      <c r="E616" s="478"/>
      <c r="F616" s="478"/>
      <c r="G616" s="479">
        <f>G617+G618</f>
        <v>2000</v>
      </c>
    </row>
    <row r="617" spans="1:7" ht="17.25" customHeight="1">
      <c r="A617" s="162"/>
      <c r="B617" s="64"/>
      <c r="C617" s="63">
        <v>4210</v>
      </c>
      <c r="D617" s="476" t="s">
        <v>270</v>
      </c>
      <c r="E617" s="75"/>
      <c r="F617" s="75"/>
      <c r="G617" s="75">
        <v>1880</v>
      </c>
    </row>
    <row r="618" spans="1:7" ht="18" customHeight="1">
      <c r="A618" s="162"/>
      <c r="B618" s="64"/>
      <c r="C618" s="125">
        <v>4240</v>
      </c>
      <c r="D618" s="517" t="s">
        <v>200</v>
      </c>
      <c r="E618" s="124"/>
      <c r="F618" s="124"/>
      <c r="G618" s="124">
        <v>120</v>
      </c>
    </row>
    <row r="619" spans="1:7" ht="18" customHeight="1">
      <c r="A619" s="162"/>
      <c r="B619" s="64"/>
      <c r="C619" s="61"/>
      <c r="D619" s="601" t="s">
        <v>122</v>
      </c>
      <c r="E619" s="86"/>
      <c r="F619" s="86"/>
      <c r="G619" s="86">
        <f>G620+G623+G626+G628</f>
        <v>12200</v>
      </c>
    </row>
    <row r="620" spans="1:7" ht="24.75" customHeight="1">
      <c r="A620" s="162"/>
      <c r="B620" s="162"/>
      <c r="C620" s="162"/>
      <c r="D620" s="756" t="s">
        <v>363</v>
      </c>
      <c r="E620" s="478"/>
      <c r="F620" s="478"/>
      <c r="G620" s="479">
        <f>G621+G622</f>
        <v>1200</v>
      </c>
    </row>
    <row r="621" spans="1:7" ht="17.25" customHeight="1">
      <c r="A621" s="162"/>
      <c r="B621" s="64"/>
      <c r="C621" s="63">
        <v>4210</v>
      </c>
      <c r="D621" s="476" t="s">
        <v>270</v>
      </c>
      <c r="E621" s="75"/>
      <c r="F621" s="75"/>
      <c r="G621" s="75">
        <v>600</v>
      </c>
    </row>
    <row r="622" spans="1:7" ht="16.5" customHeight="1">
      <c r="A622" s="162"/>
      <c r="B622" s="64"/>
      <c r="C622" s="125">
        <v>4300</v>
      </c>
      <c r="D622" s="517" t="s">
        <v>262</v>
      </c>
      <c r="E622" s="124"/>
      <c r="F622" s="124"/>
      <c r="G622" s="124">
        <v>600</v>
      </c>
    </row>
    <row r="623" spans="1:7" ht="17.25" customHeight="1">
      <c r="A623" s="162"/>
      <c r="B623" s="162"/>
      <c r="C623" s="159"/>
      <c r="D623" s="749" t="s">
        <v>113</v>
      </c>
      <c r="E623" s="478"/>
      <c r="F623" s="478"/>
      <c r="G623" s="479">
        <f>SUM(G624:G625)</f>
        <v>2000</v>
      </c>
    </row>
    <row r="624" spans="1:7" ht="19.5" customHeight="1">
      <c r="A624" s="162"/>
      <c r="B624" s="64"/>
      <c r="C624" s="63">
        <v>4240</v>
      </c>
      <c r="D624" s="476" t="s">
        <v>200</v>
      </c>
      <c r="E624" s="75"/>
      <c r="F624" s="75"/>
      <c r="G624" s="75">
        <v>200</v>
      </c>
    </row>
    <row r="625" spans="1:7" ht="19.5" customHeight="1">
      <c r="A625" s="162"/>
      <c r="B625" s="64"/>
      <c r="C625" s="125">
        <v>4300</v>
      </c>
      <c r="D625" s="476" t="s">
        <v>262</v>
      </c>
      <c r="E625" s="75"/>
      <c r="F625" s="75"/>
      <c r="G625" s="75">
        <v>1800</v>
      </c>
    </row>
    <row r="626" spans="1:7" ht="17.25" customHeight="1">
      <c r="A626" s="162"/>
      <c r="B626" s="162"/>
      <c r="C626" s="162"/>
      <c r="D626" s="750" t="s">
        <v>109</v>
      </c>
      <c r="E626" s="511"/>
      <c r="F626" s="511"/>
      <c r="G626" s="512">
        <f>G627</f>
        <v>5000</v>
      </c>
    </row>
    <row r="627" spans="1:7" ht="19.5" customHeight="1">
      <c r="A627" s="162"/>
      <c r="B627" s="64"/>
      <c r="C627" s="63">
        <v>4300</v>
      </c>
      <c r="D627" s="476" t="s">
        <v>262</v>
      </c>
      <c r="E627" s="75"/>
      <c r="F627" s="75"/>
      <c r="G627" s="75">
        <v>5000</v>
      </c>
    </row>
    <row r="628" spans="1:7" ht="19.5" customHeight="1">
      <c r="A628" s="162"/>
      <c r="B628" s="162"/>
      <c r="C628" s="162"/>
      <c r="D628" s="750" t="s">
        <v>112</v>
      </c>
      <c r="E628" s="511"/>
      <c r="F628" s="511"/>
      <c r="G628" s="512">
        <f>G629</f>
        <v>4000</v>
      </c>
    </row>
    <row r="629" spans="1:7" ht="19.5" customHeight="1">
      <c r="A629" s="162"/>
      <c r="B629" s="64"/>
      <c r="C629" s="63">
        <v>4210</v>
      </c>
      <c r="D629" s="476" t="s">
        <v>270</v>
      </c>
      <c r="E629" s="75"/>
      <c r="F629" s="75"/>
      <c r="G629" s="75">
        <v>4000</v>
      </c>
    </row>
    <row r="630" spans="1:8" ht="19.5" customHeight="1">
      <c r="A630" s="67">
        <v>854</v>
      </c>
      <c r="B630" s="67"/>
      <c r="C630" s="72"/>
      <c r="D630" s="72" t="s">
        <v>238</v>
      </c>
      <c r="E630" s="73"/>
      <c r="F630" s="73"/>
      <c r="G630" s="73">
        <f>G631+G638</f>
        <v>51300</v>
      </c>
      <c r="H630" s="82">
        <f>G630-F630</f>
        <v>51300</v>
      </c>
    </row>
    <row r="631" spans="1:7" ht="19.5" customHeight="1">
      <c r="A631" s="162"/>
      <c r="B631" s="62">
        <v>85403</v>
      </c>
      <c r="C631" s="62"/>
      <c r="D631" s="62" t="s">
        <v>338</v>
      </c>
      <c r="E631" s="74"/>
      <c r="F631" s="74"/>
      <c r="G631" s="74">
        <f>G632+G635</f>
        <v>50000</v>
      </c>
    </row>
    <row r="632" spans="1:7" ht="26.25" customHeight="1">
      <c r="A632" s="162"/>
      <c r="B632" s="162"/>
      <c r="C632" s="162"/>
      <c r="D632" s="758" t="s">
        <v>363</v>
      </c>
      <c r="E632" s="557"/>
      <c r="F632" s="558"/>
      <c r="G632" s="558">
        <f>G634</f>
        <v>30000</v>
      </c>
    </row>
    <row r="633" spans="1:7" ht="21" customHeight="1">
      <c r="A633" s="162"/>
      <c r="B633" s="162"/>
      <c r="C633" s="162"/>
      <c r="D633" s="762" t="s">
        <v>276</v>
      </c>
      <c r="E633" s="759"/>
      <c r="F633" s="760"/>
      <c r="G633" s="760">
        <v>30000</v>
      </c>
    </row>
    <row r="634" spans="1:7" ht="18" customHeight="1">
      <c r="A634" s="166"/>
      <c r="B634" s="85"/>
      <c r="C634" s="63">
        <v>4270</v>
      </c>
      <c r="D634" s="476" t="s">
        <v>201</v>
      </c>
      <c r="E634" s="75"/>
      <c r="F634" s="75"/>
      <c r="G634" s="75">
        <v>30000</v>
      </c>
    </row>
    <row r="635" spans="1:7" ht="25.5" customHeight="1">
      <c r="A635" s="162"/>
      <c r="B635" s="162"/>
      <c r="C635" s="162"/>
      <c r="D635" s="761" t="s">
        <v>364</v>
      </c>
      <c r="E635" s="511"/>
      <c r="F635" s="512"/>
      <c r="G635" s="512">
        <f>G637</f>
        <v>20000</v>
      </c>
    </row>
    <row r="636" spans="1:7" ht="19.5" customHeight="1">
      <c r="A636" s="162"/>
      <c r="B636" s="162"/>
      <c r="C636" s="162"/>
      <c r="D636" s="762" t="s">
        <v>276</v>
      </c>
      <c r="E636" s="759"/>
      <c r="F636" s="760"/>
      <c r="G636" s="760">
        <v>20000</v>
      </c>
    </row>
    <row r="637" spans="1:7" ht="18" customHeight="1">
      <c r="A637" s="162"/>
      <c r="B637" s="64"/>
      <c r="C637" s="63">
        <v>4270</v>
      </c>
      <c r="D637" s="476" t="s">
        <v>201</v>
      </c>
      <c r="E637" s="75"/>
      <c r="F637" s="75"/>
      <c r="G637" s="75">
        <v>20000</v>
      </c>
    </row>
    <row r="638" spans="1:8" ht="18.75" customHeight="1">
      <c r="A638" s="162"/>
      <c r="B638" s="71">
        <v>85415</v>
      </c>
      <c r="C638" s="62"/>
      <c r="D638" s="62" t="s">
        <v>253</v>
      </c>
      <c r="E638" s="74"/>
      <c r="F638" s="74"/>
      <c r="G638" s="74">
        <f>G639</f>
        <v>1300</v>
      </c>
      <c r="H638" s="82">
        <f>F638-G638</f>
        <v>-1300</v>
      </c>
    </row>
    <row r="639" spans="1:7" ht="17.25" customHeight="1">
      <c r="A639" s="162"/>
      <c r="B639" s="162"/>
      <c r="C639" s="162"/>
      <c r="D639" s="750" t="s">
        <v>349</v>
      </c>
      <c r="E639" s="511"/>
      <c r="F639" s="512"/>
      <c r="G639" s="512">
        <f>G641</f>
        <v>1300</v>
      </c>
    </row>
    <row r="640" spans="1:7" ht="17.25" customHeight="1">
      <c r="A640" s="162"/>
      <c r="B640" s="162"/>
      <c r="C640" s="162"/>
      <c r="D640" s="763" t="s">
        <v>40</v>
      </c>
      <c r="E640" s="759"/>
      <c r="F640" s="760"/>
      <c r="G640" s="760">
        <v>1300</v>
      </c>
    </row>
    <row r="641" spans="1:7" ht="18" customHeight="1">
      <c r="A641" s="166"/>
      <c r="B641" s="85"/>
      <c r="C641" s="63">
        <v>3240</v>
      </c>
      <c r="D641" s="476" t="s">
        <v>365</v>
      </c>
      <c r="E641" s="75"/>
      <c r="F641" s="75"/>
      <c r="G641" s="75">
        <v>1300</v>
      </c>
    </row>
  </sheetData>
  <printOptions/>
  <pageMargins left="0.7874015748031497" right="0.7874015748031497" top="0.3937007874015748" bottom="0.5905511811023623" header="0.5118110236220472" footer="0.3937007874015748"/>
  <pageSetup firstPageNumber="23" useFirstPageNumber="1" horizontalDpi="300" verticalDpi="300" orientation="landscape" paperSize="9" scale="9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7"/>
  <sheetViews>
    <sheetView zoomScale="75" zoomScaleNormal="75" workbookViewId="0" topLeftCell="A2">
      <pane ySplit="990" topLeftCell="BM31" activePane="bottomLeft" state="split"/>
      <selection pane="topLeft" activeCell="C2" sqref="C1:K16384"/>
      <selection pane="bottomLeft" activeCell="K25" sqref="K25"/>
    </sheetView>
  </sheetViews>
  <sheetFormatPr defaultColWidth="9.00390625" defaultRowHeight="12.75"/>
  <cols>
    <col min="1" max="1" width="1.12109375" style="0" customWidth="1"/>
    <col min="2" max="2" width="47.625" style="0" customWidth="1"/>
    <col min="3" max="11" width="8.75390625" style="0" customWidth="1"/>
    <col min="12" max="12" width="9.75390625" style="0" customWidth="1"/>
  </cols>
  <sheetData>
    <row r="1" ht="12.75">
      <c r="A1" s="84" t="s">
        <v>49</v>
      </c>
    </row>
    <row r="2" s="83" customFormat="1" ht="7.5" customHeight="1"/>
    <row r="3" s="83" customFormat="1" ht="6.75" customHeight="1"/>
    <row r="4" spans="2:12" s="651" customFormat="1" ht="21" customHeight="1">
      <c r="B4" s="655" t="s">
        <v>50</v>
      </c>
      <c r="C4" s="655" t="s">
        <v>460</v>
      </c>
      <c r="D4" s="655" t="s">
        <v>454</v>
      </c>
      <c r="E4" s="655" t="s">
        <v>455</v>
      </c>
      <c r="F4" s="655" t="s">
        <v>456</v>
      </c>
      <c r="G4" s="655" t="s">
        <v>457</v>
      </c>
      <c r="H4" s="655" t="s">
        <v>69</v>
      </c>
      <c r="I4" s="655" t="s">
        <v>458</v>
      </c>
      <c r="J4" s="655" t="s">
        <v>459</v>
      </c>
      <c r="K4" s="655" t="s">
        <v>56</v>
      </c>
      <c r="L4" s="655" t="s">
        <v>208</v>
      </c>
    </row>
    <row r="5" spans="2:12" s="651" customFormat="1" ht="39" customHeight="1">
      <c r="B5" s="148" t="s">
        <v>402</v>
      </c>
      <c r="C5" s="664"/>
      <c r="D5" s="664"/>
      <c r="E5" s="664"/>
      <c r="F5" s="664"/>
      <c r="G5" s="664"/>
      <c r="H5" s="664"/>
      <c r="I5" s="664"/>
      <c r="J5" s="664"/>
      <c r="K5" s="664"/>
      <c r="L5" s="665">
        <f>L6+L22+L101</f>
        <v>577656</v>
      </c>
    </row>
    <row r="6" spans="2:12" s="652" customFormat="1" ht="51" customHeight="1">
      <c r="B6" s="659" t="s">
        <v>54</v>
      </c>
      <c r="C6" s="660"/>
      <c r="D6" s="660">
        <f aca="true" t="shared" si="0" ref="D6:I6">SUM(D7:D21)</f>
        <v>524</v>
      </c>
      <c r="E6" s="660">
        <f t="shared" si="0"/>
        <v>72</v>
      </c>
      <c r="F6" s="660">
        <f t="shared" si="0"/>
        <v>3204</v>
      </c>
      <c r="G6" s="660"/>
      <c r="H6" s="660"/>
      <c r="I6" s="660">
        <f t="shared" si="0"/>
        <v>17500</v>
      </c>
      <c r="J6" s="660"/>
      <c r="K6" s="660"/>
      <c r="L6" s="660">
        <f>SUM(L7:L21)</f>
        <v>21300</v>
      </c>
    </row>
    <row r="7" spans="2:12" ht="12.75">
      <c r="B7" s="657" t="s">
        <v>461</v>
      </c>
      <c r="C7" s="658"/>
      <c r="D7" s="658"/>
      <c r="E7" s="658"/>
      <c r="F7" s="658">
        <v>280</v>
      </c>
      <c r="G7" s="658"/>
      <c r="H7" s="658"/>
      <c r="I7" s="658">
        <v>720</v>
      </c>
      <c r="J7" s="658"/>
      <c r="K7" s="658"/>
      <c r="L7" s="658">
        <f>SUM(C7:K7)</f>
        <v>1000</v>
      </c>
    </row>
    <row r="8" spans="2:12" ht="12.75">
      <c r="B8" s="653" t="s">
        <v>462</v>
      </c>
      <c r="C8" s="656"/>
      <c r="D8" s="656"/>
      <c r="E8" s="656"/>
      <c r="F8" s="656">
        <v>280</v>
      </c>
      <c r="G8" s="656"/>
      <c r="H8" s="656"/>
      <c r="I8" s="656">
        <v>720</v>
      </c>
      <c r="J8" s="656"/>
      <c r="K8" s="656"/>
      <c r="L8" s="656">
        <f aca="true" t="shared" si="1" ref="L8:L21">SUM(C8:K8)</f>
        <v>1000</v>
      </c>
    </row>
    <row r="9" spans="2:12" ht="12.75">
      <c r="B9" s="653" t="s">
        <v>463</v>
      </c>
      <c r="C9" s="656"/>
      <c r="D9" s="656"/>
      <c r="E9" s="656"/>
      <c r="F9" s="656">
        <v>280</v>
      </c>
      <c r="G9" s="656"/>
      <c r="H9" s="656"/>
      <c r="I9" s="656">
        <v>720</v>
      </c>
      <c r="J9" s="656"/>
      <c r="K9" s="656"/>
      <c r="L9" s="656">
        <f t="shared" si="1"/>
        <v>1000</v>
      </c>
    </row>
    <row r="10" spans="2:12" ht="12.75">
      <c r="B10" s="653" t="s">
        <v>464</v>
      </c>
      <c r="C10" s="656"/>
      <c r="D10" s="656"/>
      <c r="E10" s="656"/>
      <c r="F10" s="656">
        <v>280</v>
      </c>
      <c r="G10" s="656"/>
      <c r="H10" s="656"/>
      <c r="I10" s="656">
        <v>720</v>
      </c>
      <c r="J10" s="656"/>
      <c r="K10" s="656"/>
      <c r="L10" s="656">
        <f t="shared" si="1"/>
        <v>1000</v>
      </c>
    </row>
    <row r="11" spans="2:12" ht="12.75" customHeight="1">
      <c r="B11" s="653" t="s">
        <v>9</v>
      </c>
      <c r="C11" s="656"/>
      <c r="D11" s="656"/>
      <c r="E11" s="656"/>
      <c r="F11" s="656">
        <v>280</v>
      </c>
      <c r="G11" s="656"/>
      <c r="H11" s="656"/>
      <c r="I11" s="656">
        <v>720</v>
      </c>
      <c r="J11" s="656"/>
      <c r="K11" s="656"/>
      <c r="L11" s="656">
        <f t="shared" si="1"/>
        <v>1000</v>
      </c>
    </row>
    <row r="12" spans="2:12" ht="12.75">
      <c r="B12" s="653" t="s">
        <v>51</v>
      </c>
      <c r="C12" s="656"/>
      <c r="D12" s="656"/>
      <c r="E12" s="656"/>
      <c r="F12" s="656">
        <v>280</v>
      </c>
      <c r="G12" s="656"/>
      <c r="H12" s="656"/>
      <c r="I12" s="656">
        <v>720</v>
      </c>
      <c r="J12" s="656"/>
      <c r="K12" s="656"/>
      <c r="L12" s="656">
        <f t="shared" si="1"/>
        <v>1000</v>
      </c>
    </row>
    <row r="13" spans="2:12" ht="12.75">
      <c r="B13" s="653" t="s">
        <v>465</v>
      </c>
      <c r="C13" s="656"/>
      <c r="D13" s="656"/>
      <c r="E13" s="656"/>
      <c r="F13" s="656">
        <v>280</v>
      </c>
      <c r="G13" s="656"/>
      <c r="H13" s="656"/>
      <c r="I13" s="656">
        <v>720</v>
      </c>
      <c r="J13" s="656"/>
      <c r="K13" s="656"/>
      <c r="L13" s="656">
        <f t="shared" si="1"/>
        <v>1000</v>
      </c>
    </row>
    <row r="14" spans="2:12" ht="12.75">
      <c r="B14" s="653" t="s">
        <v>52</v>
      </c>
      <c r="C14" s="656"/>
      <c r="D14" s="656"/>
      <c r="E14" s="656"/>
      <c r="F14" s="656">
        <v>280</v>
      </c>
      <c r="G14" s="656"/>
      <c r="H14" s="656"/>
      <c r="I14" s="656">
        <v>720</v>
      </c>
      <c r="J14" s="656"/>
      <c r="K14" s="656"/>
      <c r="L14" s="656">
        <f t="shared" si="1"/>
        <v>1000</v>
      </c>
    </row>
    <row r="15" spans="2:12" ht="12.75" hidden="1">
      <c r="B15" s="653" t="s">
        <v>472</v>
      </c>
      <c r="C15" s="656"/>
      <c r="D15" s="656"/>
      <c r="E15" s="656"/>
      <c r="F15" s="656"/>
      <c r="G15" s="656"/>
      <c r="H15" s="656"/>
      <c r="I15" s="656"/>
      <c r="J15" s="656"/>
      <c r="K15" s="656"/>
      <c r="L15" s="656">
        <f t="shared" si="1"/>
        <v>0</v>
      </c>
    </row>
    <row r="16" spans="2:12" ht="12.75">
      <c r="B16" s="653" t="s">
        <v>466</v>
      </c>
      <c r="C16" s="656"/>
      <c r="D16" s="656"/>
      <c r="E16" s="656"/>
      <c r="F16" s="656"/>
      <c r="G16" s="656"/>
      <c r="H16" s="656"/>
      <c r="I16" s="656">
        <v>2600</v>
      </c>
      <c r="J16" s="656"/>
      <c r="K16" s="656"/>
      <c r="L16" s="656">
        <f t="shared" si="1"/>
        <v>2600</v>
      </c>
    </row>
    <row r="17" spans="2:12" ht="12.75" hidden="1">
      <c r="B17" s="653" t="s">
        <v>503</v>
      </c>
      <c r="C17" s="656"/>
      <c r="D17" s="656"/>
      <c r="E17" s="656"/>
      <c r="F17" s="656"/>
      <c r="G17" s="656"/>
      <c r="H17" s="656"/>
      <c r="I17" s="656"/>
      <c r="J17" s="656"/>
      <c r="K17" s="656"/>
      <c r="L17" s="656">
        <f t="shared" si="1"/>
        <v>0</v>
      </c>
    </row>
    <row r="18" spans="2:12" ht="12.75" hidden="1">
      <c r="B18" s="653" t="s">
        <v>47</v>
      </c>
      <c r="C18" s="656"/>
      <c r="D18" s="656"/>
      <c r="E18" s="656"/>
      <c r="F18" s="656"/>
      <c r="G18" s="656"/>
      <c r="H18" s="656"/>
      <c r="I18" s="656"/>
      <c r="J18" s="656"/>
      <c r="K18" s="656"/>
      <c r="L18" s="656">
        <f t="shared" si="1"/>
        <v>0</v>
      </c>
    </row>
    <row r="19" spans="2:12" ht="12.75">
      <c r="B19" s="653" t="s">
        <v>467</v>
      </c>
      <c r="C19" s="656"/>
      <c r="D19" s="656"/>
      <c r="E19" s="656"/>
      <c r="F19" s="656">
        <v>300</v>
      </c>
      <c r="G19" s="656"/>
      <c r="H19" s="656"/>
      <c r="I19" s="656">
        <v>1700</v>
      </c>
      <c r="J19" s="656"/>
      <c r="K19" s="656"/>
      <c r="L19" s="656">
        <f t="shared" si="1"/>
        <v>2000</v>
      </c>
    </row>
    <row r="20" spans="2:12" ht="12.75">
      <c r="B20" s="653" t="s">
        <v>468</v>
      </c>
      <c r="C20" s="656"/>
      <c r="D20" s="656">
        <v>524</v>
      </c>
      <c r="E20" s="656">
        <v>72</v>
      </c>
      <c r="F20" s="656">
        <v>404</v>
      </c>
      <c r="G20" s="656"/>
      <c r="H20" s="656"/>
      <c r="I20" s="656">
        <v>6000</v>
      </c>
      <c r="J20" s="656"/>
      <c r="K20" s="656"/>
      <c r="L20" s="656">
        <f t="shared" si="1"/>
        <v>7000</v>
      </c>
    </row>
    <row r="21" spans="2:12" ht="12.75">
      <c r="B21" s="653" t="s">
        <v>53</v>
      </c>
      <c r="C21" s="656"/>
      <c r="D21" s="656"/>
      <c r="E21" s="656"/>
      <c r="F21" s="656">
        <v>260</v>
      </c>
      <c r="G21" s="656"/>
      <c r="H21" s="656"/>
      <c r="I21" s="656">
        <v>1440</v>
      </c>
      <c r="J21" s="656"/>
      <c r="K21" s="656"/>
      <c r="L21" s="656">
        <f t="shared" si="1"/>
        <v>1700</v>
      </c>
    </row>
    <row r="22" spans="2:12" s="654" customFormat="1" ht="38.25">
      <c r="B22" s="661" t="s">
        <v>55</v>
      </c>
      <c r="C22" s="660">
        <f>SUM(C23:C100)</f>
        <v>3200</v>
      </c>
      <c r="D22" s="660">
        <f aca="true" t="shared" si="2" ref="D22:K22">SUM(D23:D100)</f>
        <v>27968</v>
      </c>
      <c r="E22" s="660">
        <f t="shared" si="2"/>
        <v>3887</v>
      </c>
      <c r="F22" s="660">
        <f t="shared" si="2"/>
        <v>65740</v>
      </c>
      <c r="G22" s="660">
        <f t="shared" si="2"/>
        <v>42465</v>
      </c>
      <c r="H22" s="660"/>
      <c r="I22" s="660">
        <f t="shared" si="2"/>
        <v>376334</v>
      </c>
      <c r="J22" s="660">
        <f t="shared" si="2"/>
        <v>762</v>
      </c>
      <c r="K22" s="660">
        <f t="shared" si="2"/>
        <v>6500</v>
      </c>
      <c r="L22" s="660">
        <f>SUM(L23:L100)</f>
        <v>526856</v>
      </c>
    </row>
    <row r="23" spans="2:12" ht="12.75">
      <c r="B23" s="657" t="s">
        <v>469</v>
      </c>
      <c r="C23" s="658"/>
      <c r="D23" s="658">
        <v>225</v>
      </c>
      <c r="E23" s="658">
        <v>35</v>
      </c>
      <c r="F23" s="658">
        <v>800</v>
      </c>
      <c r="G23" s="658">
        <v>3700</v>
      </c>
      <c r="H23" s="658"/>
      <c r="I23" s="658">
        <v>1240</v>
      </c>
      <c r="J23" s="658"/>
      <c r="K23" s="658"/>
      <c r="L23" s="658">
        <f>SUM(C23:K23)</f>
        <v>6000</v>
      </c>
    </row>
    <row r="24" spans="2:12" ht="12.75">
      <c r="B24" s="653" t="s">
        <v>470</v>
      </c>
      <c r="C24" s="656"/>
      <c r="D24" s="656">
        <v>72</v>
      </c>
      <c r="E24" s="656">
        <v>28</v>
      </c>
      <c r="F24" s="656">
        <v>1800</v>
      </c>
      <c r="G24" s="656"/>
      <c r="H24" s="656"/>
      <c r="I24" s="656">
        <v>4650</v>
      </c>
      <c r="J24" s="656"/>
      <c r="K24" s="656"/>
      <c r="L24" s="658">
        <f aca="true" t="shared" si="3" ref="L24:L90">SUM(C24:K24)</f>
        <v>6550</v>
      </c>
    </row>
    <row r="25" spans="2:12" ht="12.75">
      <c r="B25" s="653" t="s">
        <v>471</v>
      </c>
      <c r="C25" s="656"/>
      <c r="D25" s="656">
        <v>584</v>
      </c>
      <c r="E25" s="656">
        <v>80</v>
      </c>
      <c r="F25" s="656">
        <v>590</v>
      </c>
      <c r="G25" s="656"/>
      <c r="H25" s="656"/>
      <c r="I25" s="656">
        <v>3246</v>
      </c>
      <c r="J25" s="656"/>
      <c r="K25" s="656"/>
      <c r="L25" s="658">
        <f t="shared" si="3"/>
        <v>4500</v>
      </c>
    </row>
    <row r="26" spans="2:12" ht="12" customHeight="1">
      <c r="B26" s="653" t="s">
        <v>472</v>
      </c>
      <c r="C26" s="656"/>
      <c r="D26" s="656"/>
      <c r="E26" s="656"/>
      <c r="F26" s="656">
        <v>150</v>
      </c>
      <c r="G26" s="656"/>
      <c r="H26" s="656"/>
      <c r="I26" s="656">
        <v>3500</v>
      </c>
      <c r="J26" s="656"/>
      <c r="K26" s="656"/>
      <c r="L26" s="658">
        <f t="shared" si="3"/>
        <v>3650</v>
      </c>
    </row>
    <row r="27" spans="2:12" ht="12.75">
      <c r="B27" s="653" t="s">
        <v>473</v>
      </c>
      <c r="C27" s="658"/>
      <c r="D27" s="656">
        <v>570</v>
      </c>
      <c r="E27" s="656">
        <v>78</v>
      </c>
      <c r="F27" s="656">
        <v>150</v>
      </c>
      <c r="G27" s="656"/>
      <c r="H27" s="656"/>
      <c r="I27" s="656">
        <v>5192</v>
      </c>
      <c r="J27" s="656"/>
      <c r="K27" s="656"/>
      <c r="L27" s="658">
        <f t="shared" si="3"/>
        <v>5990</v>
      </c>
    </row>
    <row r="28" spans="2:12" ht="12.75">
      <c r="B28" s="653" t="s">
        <v>474</v>
      </c>
      <c r="C28" s="656"/>
      <c r="D28" s="656"/>
      <c r="E28" s="656"/>
      <c r="F28" s="656"/>
      <c r="G28" s="656">
        <v>350</v>
      </c>
      <c r="H28" s="656"/>
      <c r="I28" s="656">
        <v>2300</v>
      </c>
      <c r="J28" s="656"/>
      <c r="K28" s="656"/>
      <c r="L28" s="658">
        <f t="shared" si="3"/>
        <v>2650</v>
      </c>
    </row>
    <row r="29" spans="2:12" ht="12.75">
      <c r="B29" s="653" t="s">
        <v>475</v>
      </c>
      <c r="C29" s="656"/>
      <c r="D29" s="656">
        <v>357</v>
      </c>
      <c r="E29" s="656">
        <v>49</v>
      </c>
      <c r="F29" s="656">
        <v>494</v>
      </c>
      <c r="G29" s="656"/>
      <c r="H29" s="656"/>
      <c r="I29" s="656">
        <v>2560</v>
      </c>
      <c r="J29" s="656"/>
      <c r="K29" s="656"/>
      <c r="L29" s="658">
        <f t="shared" si="3"/>
        <v>3460</v>
      </c>
    </row>
    <row r="30" spans="2:12" ht="12.75">
      <c r="B30" s="653" t="s">
        <v>476</v>
      </c>
      <c r="C30" s="656"/>
      <c r="D30" s="656"/>
      <c r="E30" s="656"/>
      <c r="F30" s="656">
        <v>600</v>
      </c>
      <c r="G30" s="656"/>
      <c r="H30" s="656"/>
      <c r="I30" s="656">
        <v>400</v>
      </c>
      <c r="J30" s="656"/>
      <c r="K30" s="656"/>
      <c r="L30" s="658">
        <f t="shared" si="3"/>
        <v>1000</v>
      </c>
    </row>
    <row r="31" spans="2:12" ht="12.75">
      <c r="B31" s="653" t="s">
        <v>477</v>
      </c>
      <c r="C31" s="656"/>
      <c r="D31" s="656">
        <v>992</v>
      </c>
      <c r="E31" s="656">
        <v>135</v>
      </c>
      <c r="F31" s="656">
        <v>5500</v>
      </c>
      <c r="G31" s="656">
        <v>1150</v>
      </c>
      <c r="H31" s="656"/>
      <c r="I31" s="656">
        <v>4373</v>
      </c>
      <c r="J31" s="656"/>
      <c r="K31" s="656"/>
      <c r="L31" s="658">
        <f t="shared" si="3"/>
        <v>12150</v>
      </c>
    </row>
    <row r="32" spans="2:12" ht="12.75">
      <c r="B32" s="653" t="s">
        <v>478</v>
      </c>
      <c r="C32" s="656"/>
      <c r="D32" s="656">
        <v>283</v>
      </c>
      <c r="E32" s="656">
        <v>38</v>
      </c>
      <c r="F32" s="656">
        <v>110</v>
      </c>
      <c r="G32" s="656"/>
      <c r="H32" s="656"/>
      <c r="I32" s="656">
        <v>1569</v>
      </c>
      <c r="J32" s="656"/>
      <c r="K32" s="656"/>
      <c r="L32" s="658">
        <f t="shared" si="3"/>
        <v>2000</v>
      </c>
    </row>
    <row r="33" spans="2:12" ht="12.75">
      <c r="B33" s="653" t="s">
        <v>113</v>
      </c>
      <c r="C33" s="656"/>
      <c r="D33" s="656"/>
      <c r="E33" s="656"/>
      <c r="F33" s="656">
        <v>340</v>
      </c>
      <c r="G33" s="656"/>
      <c r="H33" s="656"/>
      <c r="I33" s="656">
        <v>660</v>
      </c>
      <c r="J33" s="656"/>
      <c r="K33" s="656"/>
      <c r="L33" s="658">
        <f t="shared" si="3"/>
        <v>1000</v>
      </c>
    </row>
    <row r="34" spans="2:12" ht="12.75">
      <c r="B34" s="653" t="s">
        <v>479</v>
      </c>
      <c r="C34" s="656"/>
      <c r="D34" s="656">
        <v>628</v>
      </c>
      <c r="E34" s="656">
        <v>86</v>
      </c>
      <c r="F34" s="656">
        <v>1300</v>
      </c>
      <c r="G34" s="656"/>
      <c r="H34" s="656"/>
      <c r="I34" s="656">
        <v>3486</v>
      </c>
      <c r="J34" s="656"/>
      <c r="K34" s="656"/>
      <c r="L34" s="658">
        <f t="shared" si="3"/>
        <v>5500</v>
      </c>
    </row>
    <row r="35" spans="2:12" ht="12.75">
      <c r="B35" s="653" t="s">
        <v>480</v>
      </c>
      <c r="C35" s="656"/>
      <c r="D35" s="656">
        <v>178</v>
      </c>
      <c r="E35" s="656">
        <v>25</v>
      </c>
      <c r="F35" s="656">
        <v>450</v>
      </c>
      <c r="G35" s="656">
        <v>500</v>
      </c>
      <c r="H35" s="656"/>
      <c r="I35" s="656">
        <v>2997</v>
      </c>
      <c r="J35" s="656"/>
      <c r="K35" s="656"/>
      <c r="L35" s="658">
        <f t="shared" si="3"/>
        <v>4150</v>
      </c>
    </row>
    <row r="36" spans="2:12" ht="12.75">
      <c r="B36" s="653" t="s">
        <v>481</v>
      </c>
      <c r="C36" s="656"/>
      <c r="D36" s="656"/>
      <c r="E36" s="656"/>
      <c r="F36" s="656">
        <v>760</v>
      </c>
      <c r="G36" s="656">
        <v>130</v>
      </c>
      <c r="H36" s="656"/>
      <c r="I36" s="656">
        <v>4510</v>
      </c>
      <c r="J36" s="656"/>
      <c r="K36" s="656"/>
      <c r="L36" s="658">
        <f t="shared" si="3"/>
        <v>5400</v>
      </c>
    </row>
    <row r="37" spans="2:12" ht="12.75">
      <c r="B37" s="653" t="s">
        <v>482</v>
      </c>
      <c r="C37" s="656"/>
      <c r="D37" s="656">
        <v>1344</v>
      </c>
      <c r="E37" s="656">
        <v>183</v>
      </c>
      <c r="F37" s="656">
        <v>500</v>
      </c>
      <c r="G37" s="656"/>
      <c r="H37" s="656"/>
      <c r="I37" s="656">
        <v>7473</v>
      </c>
      <c r="J37" s="656"/>
      <c r="K37" s="656"/>
      <c r="L37" s="658">
        <f t="shared" si="3"/>
        <v>9500</v>
      </c>
    </row>
    <row r="38" spans="2:12" ht="12.75">
      <c r="B38" s="653" t="s">
        <v>483</v>
      </c>
      <c r="C38" s="656"/>
      <c r="D38" s="656">
        <v>806</v>
      </c>
      <c r="E38" s="656">
        <v>110</v>
      </c>
      <c r="F38" s="656">
        <v>504</v>
      </c>
      <c r="G38" s="656"/>
      <c r="H38" s="656"/>
      <c r="I38" s="656">
        <v>4830</v>
      </c>
      <c r="J38" s="656"/>
      <c r="K38" s="656"/>
      <c r="L38" s="658">
        <f t="shared" si="3"/>
        <v>6250</v>
      </c>
    </row>
    <row r="39" spans="2:12" ht="12.75">
      <c r="B39" s="653" t="s">
        <v>484</v>
      </c>
      <c r="C39" s="656"/>
      <c r="D39" s="656">
        <v>971</v>
      </c>
      <c r="E39" s="656">
        <v>133</v>
      </c>
      <c r="F39" s="656">
        <v>1500</v>
      </c>
      <c r="G39" s="656"/>
      <c r="H39" s="656"/>
      <c r="I39" s="656">
        <v>10396</v>
      </c>
      <c r="J39" s="656"/>
      <c r="K39" s="656"/>
      <c r="L39" s="658">
        <f t="shared" si="3"/>
        <v>13000</v>
      </c>
    </row>
    <row r="40" spans="2:12" ht="12.75">
      <c r="B40" s="653" t="s">
        <v>109</v>
      </c>
      <c r="C40" s="656"/>
      <c r="D40" s="656"/>
      <c r="E40" s="656"/>
      <c r="F40" s="656">
        <v>220</v>
      </c>
      <c r="G40" s="656">
        <v>280</v>
      </c>
      <c r="H40" s="656"/>
      <c r="I40" s="656">
        <v>6100</v>
      </c>
      <c r="J40" s="656"/>
      <c r="K40" s="656"/>
      <c r="L40" s="658">
        <f t="shared" si="3"/>
        <v>6600</v>
      </c>
    </row>
    <row r="41" spans="2:12" ht="12.75">
      <c r="B41" s="653" t="s">
        <v>466</v>
      </c>
      <c r="C41" s="656"/>
      <c r="D41" s="656">
        <v>2390</v>
      </c>
      <c r="E41" s="656">
        <v>328</v>
      </c>
      <c r="F41" s="656">
        <v>1650</v>
      </c>
      <c r="G41" s="656">
        <v>3500</v>
      </c>
      <c r="H41" s="656"/>
      <c r="I41" s="656">
        <v>18882</v>
      </c>
      <c r="J41" s="656"/>
      <c r="K41" s="656"/>
      <c r="L41" s="658">
        <f t="shared" si="3"/>
        <v>26750</v>
      </c>
    </row>
    <row r="42" spans="2:12" ht="12.75">
      <c r="B42" s="653" t="s">
        <v>485</v>
      </c>
      <c r="C42" s="656"/>
      <c r="D42" s="656">
        <v>4207</v>
      </c>
      <c r="E42" s="656">
        <v>575</v>
      </c>
      <c r="F42" s="656">
        <v>2501</v>
      </c>
      <c r="G42" s="656">
        <v>40</v>
      </c>
      <c r="H42" s="656"/>
      <c r="I42" s="656">
        <f>30977+1284</f>
        <v>32261</v>
      </c>
      <c r="J42" s="656">
        <v>700</v>
      </c>
      <c r="K42" s="656">
        <v>500</v>
      </c>
      <c r="L42" s="658">
        <f t="shared" si="3"/>
        <v>40784</v>
      </c>
    </row>
    <row r="43" spans="2:12" ht="12.75">
      <c r="B43" s="653" t="s">
        <v>486</v>
      </c>
      <c r="C43" s="656"/>
      <c r="D43" s="656">
        <v>673</v>
      </c>
      <c r="E43" s="656">
        <v>92</v>
      </c>
      <c r="F43" s="656"/>
      <c r="G43" s="656"/>
      <c r="H43" s="656"/>
      <c r="I43" s="656">
        <v>3735</v>
      </c>
      <c r="J43" s="656"/>
      <c r="K43" s="656"/>
      <c r="L43" s="658">
        <f t="shared" si="3"/>
        <v>4500</v>
      </c>
    </row>
    <row r="44" spans="2:12" ht="12.75">
      <c r="B44" s="653" t="s">
        <v>112</v>
      </c>
      <c r="C44" s="656"/>
      <c r="D44" s="656">
        <v>493</v>
      </c>
      <c r="E44" s="656">
        <v>69</v>
      </c>
      <c r="F44" s="656">
        <v>298</v>
      </c>
      <c r="G44" s="656"/>
      <c r="H44" s="656"/>
      <c r="I44" s="656">
        <v>2740</v>
      </c>
      <c r="J44" s="656"/>
      <c r="K44" s="656"/>
      <c r="L44" s="658">
        <f t="shared" si="3"/>
        <v>3600</v>
      </c>
    </row>
    <row r="45" spans="2:12" ht="12.75">
      <c r="B45" s="653" t="s">
        <v>487</v>
      </c>
      <c r="C45" s="656"/>
      <c r="D45" s="656">
        <v>840</v>
      </c>
      <c r="E45" s="656">
        <v>114</v>
      </c>
      <c r="F45" s="656">
        <v>280</v>
      </c>
      <c r="G45" s="656"/>
      <c r="H45" s="656"/>
      <c r="I45" s="656">
        <v>4666</v>
      </c>
      <c r="J45" s="656"/>
      <c r="K45" s="656"/>
      <c r="L45" s="658">
        <f t="shared" si="3"/>
        <v>5900</v>
      </c>
    </row>
    <row r="46" spans="2:12" ht="12.75">
      <c r="B46" s="653" t="s">
        <v>488</v>
      </c>
      <c r="C46" s="656"/>
      <c r="D46" s="656"/>
      <c r="E46" s="656"/>
      <c r="F46" s="656">
        <v>250</v>
      </c>
      <c r="G46" s="656">
        <v>170</v>
      </c>
      <c r="H46" s="656"/>
      <c r="I46" s="656">
        <v>2600</v>
      </c>
      <c r="J46" s="656"/>
      <c r="K46" s="656"/>
      <c r="L46" s="658">
        <f t="shared" si="3"/>
        <v>3020</v>
      </c>
    </row>
    <row r="47" spans="2:12" ht="12.75">
      <c r="B47" s="653" t="s">
        <v>489</v>
      </c>
      <c r="C47" s="656"/>
      <c r="D47" s="656"/>
      <c r="E47" s="656"/>
      <c r="F47" s="656">
        <v>1400</v>
      </c>
      <c r="G47" s="656"/>
      <c r="H47" s="656"/>
      <c r="I47" s="656">
        <v>3240</v>
      </c>
      <c r="J47" s="656"/>
      <c r="K47" s="656"/>
      <c r="L47" s="658">
        <f t="shared" si="3"/>
        <v>4640</v>
      </c>
    </row>
    <row r="48" spans="2:12" ht="12.75">
      <c r="B48" s="653" t="s">
        <v>490</v>
      </c>
      <c r="C48" s="656"/>
      <c r="D48" s="656">
        <v>971</v>
      </c>
      <c r="E48" s="656">
        <v>133</v>
      </c>
      <c r="F48" s="656">
        <v>1500</v>
      </c>
      <c r="G48" s="656">
        <v>2000</v>
      </c>
      <c r="H48" s="656"/>
      <c r="I48" s="656">
        <v>9596</v>
      </c>
      <c r="J48" s="656"/>
      <c r="K48" s="656"/>
      <c r="L48" s="658">
        <f t="shared" si="3"/>
        <v>14200</v>
      </c>
    </row>
    <row r="49" spans="2:12" ht="12.75">
      <c r="B49" s="653" t="s">
        <v>491</v>
      </c>
      <c r="C49" s="656"/>
      <c r="D49" s="656">
        <v>807</v>
      </c>
      <c r="E49" s="656">
        <v>110</v>
      </c>
      <c r="F49" s="656">
        <v>600</v>
      </c>
      <c r="G49" s="656"/>
      <c r="H49" s="656"/>
      <c r="I49" s="656">
        <v>5483</v>
      </c>
      <c r="J49" s="656"/>
      <c r="K49" s="656"/>
      <c r="L49" s="658">
        <f t="shared" si="3"/>
        <v>7000</v>
      </c>
    </row>
    <row r="50" spans="2:12" ht="12.75">
      <c r="B50" s="653" t="s">
        <v>492</v>
      </c>
      <c r="C50" s="656"/>
      <c r="D50" s="656">
        <v>1061</v>
      </c>
      <c r="E50" s="656">
        <v>145</v>
      </c>
      <c r="F50" s="656">
        <v>1050</v>
      </c>
      <c r="G50" s="656"/>
      <c r="H50" s="656"/>
      <c r="I50" s="656">
        <f>15894+2568</f>
        <v>18462</v>
      </c>
      <c r="J50" s="656"/>
      <c r="K50" s="656">
        <v>500</v>
      </c>
      <c r="L50" s="658">
        <f t="shared" si="3"/>
        <v>21218</v>
      </c>
    </row>
    <row r="51" spans="2:12" ht="12.75">
      <c r="B51" s="653" t="s">
        <v>493</v>
      </c>
      <c r="C51" s="656"/>
      <c r="D51" s="656"/>
      <c r="E51" s="656"/>
      <c r="F51" s="656"/>
      <c r="G51" s="656"/>
      <c r="H51" s="656"/>
      <c r="I51" s="656">
        <v>1100</v>
      </c>
      <c r="J51" s="656"/>
      <c r="K51" s="656"/>
      <c r="L51" s="658">
        <f t="shared" si="3"/>
        <v>1100</v>
      </c>
    </row>
    <row r="52" spans="2:12" ht="12.75">
      <c r="B52" s="653" t="s">
        <v>494</v>
      </c>
      <c r="C52" s="656"/>
      <c r="D52" s="656"/>
      <c r="E52" s="656"/>
      <c r="F52" s="656">
        <v>1000</v>
      </c>
      <c r="G52" s="656">
        <v>2500</v>
      </c>
      <c r="H52" s="656"/>
      <c r="I52" s="656">
        <f>500+2568</f>
        <v>3068</v>
      </c>
      <c r="J52" s="656"/>
      <c r="K52" s="656">
        <v>500</v>
      </c>
      <c r="L52" s="658">
        <f t="shared" si="3"/>
        <v>7068</v>
      </c>
    </row>
    <row r="53" spans="2:12" ht="12.75">
      <c r="B53" s="653" t="s">
        <v>495</v>
      </c>
      <c r="C53" s="656"/>
      <c r="D53" s="656">
        <v>262</v>
      </c>
      <c r="E53" s="656">
        <v>35</v>
      </c>
      <c r="F53" s="656">
        <v>650</v>
      </c>
      <c r="G53" s="656"/>
      <c r="H53" s="656"/>
      <c r="I53" s="656">
        <v>1453</v>
      </c>
      <c r="J53" s="656"/>
      <c r="K53" s="656"/>
      <c r="L53" s="658">
        <f t="shared" si="3"/>
        <v>2400</v>
      </c>
    </row>
    <row r="54" spans="2:12" ht="12.75">
      <c r="B54" s="653" t="s">
        <v>496</v>
      </c>
      <c r="C54" s="656"/>
      <c r="D54" s="656">
        <v>172</v>
      </c>
      <c r="E54" s="656">
        <v>28</v>
      </c>
      <c r="F54" s="656">
        <v>5000</v>
      </c>
      <c r="G54" s="656"/>
      <c r="H54" s="656"/>
      <c r="I54" s="656">
        <v>4800</v>
      </c>
      <c r="J54" s="656"/>
      <c r="K54" s="656"/>
      <c r="L54" s="658">
        <f t="shared" si="3"/>
        <v>10000</v>
      </c>
    </row>
    <row r="55" spans="2:12" ht="12.75">
      <c r="B55" s="653" t="s">
        <v>497</v>
      </c>
      <c r="C55" s="656"/>
      <c r="D55" s="656">
        <v>359</v>
      </c>
      <c r="E55" s="656">
        <v>49</v>
      </c>
      <c r="F55" s="656">
        <v>249</v>
      </c>
      <c r="G55" s="656">
        <v>351</v>
      </c>
      <c r="H55" s="656"/>
      <c r="I55" s="656">
        <v>3492</v>
      </c>
      <c r="J55" s="656"/>
      <c r="K55" s="656"/>
      <c r="L55" s="658">
        <f t="shared" si="3"/>
        <v>4500</v>
      </c>
    </row>
    <row r="56" spans="2:12" ht="12.75">
      <c r="B56" s="653" t="s">
        <v>58</v>
      </c>
      <c r="C56" s="656"/>
      <c r="D56" s="656">
        <v>842</v>
      </c>
      <c r="E56" s="656">
        <v>115</v>
      </c>
      <c r="F56" s="656">
        <v>900</v>
      </c>
      <c r="G56" s="656">
        <v>1500</v>
      </c>
      <c r="H56" s="656"/>
      <c r="I56" s="656">
        <v>6743</v>
      </c>
      <c r="J56" s="656"/>
      <c r="K56" s="656"/>
      <c r="L56" s="658">
        <f t="shared" si="3"/>
        <v>10100</v>
      </c>
    </row>
    <row r="57" spans="2:12" ht="12.75">
      <c r="B57" s="653" t="s">
        <v>498</v>
      </c>
      <c r="C57" s="656"/>
      <c r="D57" s="656">
        <v>565</v>
      </c>
      <c r="E57" s="656">
        <v>79</v>
      </c>
      <c r="F57" s="656">
        <v>2496</v>
      </c>
      <c r="G57" s="656">
        <v>1000</v>
      </c>
      <c r="H57" s="656"/>
      <c r="I57" s="656">
        <v>5860</v>
      </c>
      <c r="J57" s="656"/>
      <c r="K57" s="656"/>
      <c r="L57" s="658">
        <f t="shared" si="3"/>
        <v>10000</v>
      </c>
    </row>
    <row r="58" spans="2:12" ht="12.75">
      <c r="B58" s="653" t="s">
        <v>59</v>
      </c>
      <c r="C58" s="656"/>
      <c r="D58" s="656"/>
      <c r="E58" s="656"/>
      <c r="F58" s="656">
        <v>950</v>
      </c>
      <c r="G58" s="656">
        <v>300</v>
      </c>
      <c r="H58" s="656"/>
      <c r="I58" s="656">
        <v>3650</v>
      </c>
      <c r="J58" s="656"/>
      <c r="K58" s="656"/>
      <c r="L58" s="658">
        <f t="shared" si="3"/>
        <v>4900</v>
      </c>
    </row>
    <row r="59" spans="2:12" ht="12.75">
      <c r="B59" s="653" t="s">
        <v>499</v>
      </c>
      <c r="C59" s="656"/>
      <c r="D59" s="656"/>
      <c r="E59" s="656"/>
      <c r="F59" s="656">
        <v>450</v>
      </c>
      <c r="G59" s="656">
        <v>300</v>
      </c>
      <c r="H59" s="656"/>
      <c r="I59" s="656">
        <v>13250</v>
      </c>
      <c r="J59" s="656"/>
      <c r="K59" s="656"/>
      <c r="L59" s="658">
        <f t="shared" si="3"/>
        <v>14000</v>
      </c>
    </row>
    <row r="60" spans="2:12" ht="12.75">
      <c r="B60" s="653" t="s">
        <v>500</v>
      </c>
      <c r="C60" s="656"/>
      <c r="D60" s="656">
        <v>1084</v>
      </c>
      <c r="E60" s="656">
        <v>148</v>
      </c>
      <c r="F60" s="656">
        <v>346</v>
      </c>
      <c r="G60" s="656">
        <v>1220</v>
      </c>
      <c r="H60" s="656"/>
      <c r="I60" s="656">
        <v>8140</v>
      </c>
      <c r="J60" s="656">
        <v>62</v>
      </c>
      <c r="K60" s="656"/>
      <c r="L60" s="658">
        <f t="shared" si="3"/>
        <v>11000</v>
      </c>
    </row>
    <row r="61" spans="2:12" ht="12.75">
      <c r="B61" s="653" t="s">
        <v>501</v>
      </c>
      <c r="C61" s="656"/>
      <c r="D61" s="656">
        <v>1531</v>
      </c>
      <c r="E61" s="656">
        <v>209</v>
      </c>
      <c r="F61" s="656">
        <v>400</v>
      </c>
      <c r="G61" s="656"/>
      <c r="H61" s="656"/>
      <c r="I61" s="656">
        <v>8510</v>
      </c>
      <c r="J61" s="656"/>
      <c r="K61" s="656"/>
      <c r="L61" s="658">
        <f t="shared" si="3"/>
        <v>10650</v>
      </c>
    </row>
    <row r="62" spans="2:12" ht="12.75">
      <c r="B62" s="653" t="s">
        <v>502</v>
      </c>
      <c r="C62" s="656"/>
      <c r="D62" s="656"/>
      <c r="E62" s="656"/>
      <c r="F62" s="656">
        <v>600</v>
      </c>
      <c r="G62" s="656">
        <v>700</v>
      </c>
      <c r="H62" s="656"/>
      <c r="I62" s="656">
        <v>700</v>
      </c>
      <c r="J62" s="656"/>
      <c r="K62" s="656"/>
      <c r="L62" s="658">
        <f t="shared" si="3"/>
        <v>2000</v>
      </c>
    </row>
    <row r="63" spans="2:12" ht="12.75">
      <c r="B63" s="653" t="s">
        <v>503</v>
      </c>
      <c r="C63" s="656"/>
      <c r="D63" s="656">
        <v>180</v>
      </c>
      <c r="E63" s="656">
        <v>24</v>
      </c>
      <c r="F63" s="656">
        <v>1300</v>
      </c>
      <c r="G63" s="656">
        <v>300</v>
      </c>
      <c r="H63" s="656"/>
      <c r="I63" s="656">
        <v>5846</v>
      </c>
      <c r="J63" s="656"/>
      <c r="K63" s="656"/>
      <c r="L63" s="658">
        <f t="shared" si="3"/>
        <v>7650</v>
      </c>
    </row>
    <row r="64" spans="2:12" ht="12.75">
      <c r="B64" s="653" t="s">
        <v>504</v>
      </c>
      <c r="C64" s="656"/>
      <c r="D64" s="656"/>
      <c r="E64" s="656"/>
      <c r="F64" s="656">
        <v>626</v>
      </c>
      <c r="G64" s="656">
        <v>84</v>
      </c>
      <c r="H64" s="656"/>
      <c r="I64" s="656">
        <v>9890</v>
      </c>
      <c r="J64" s="656"/>
      <c r="K64" s="656"/>
      <c r="L64" s="658">
        <f t="shared" si="3"/>
        <v>10600</v>
      </c>
    </row>
    <row r="65" spans="2:12" ht="12.75">
      <c r="B65" s="653" t="s">
        <v>60</v>
      </c>
      <c r="C65" s="656"/>
      <c r="D65" s="656">
        <v>822</v>
      </c>
      <c r="E65" s="656">
        <v>112</v>
      </c>
      <c r="F65" s="656">
        <v>1000</v>
      </c>
      <c r="G65" s="656"/>
      <c r="H65" s="656"/>
      <c r="I65" s="656">
        <f>4566+2568</f>
        <v>7134</v>
      </c>
      <c r="J65" s="656"/>
      <c r="K65" s="656">
        <v>500</v>
      </c>
      <c r="L65" s="658">
        <f t="shared" si="3"/>
        <v>9568</v>
      </c>
    </row>
    <row r="66" spans="2:12" ht="12.75">
      <c r="B66" s="653" t="s">
        <v>505</v>
      </c>
      <c r="C66" s="656"/>
      <c r="D66" s="656"/>
      <c r="E66" s="656"/>
      <c r="F66" s="656">
        <v>1000</v>
      </c>
      <c r="G66" s="656"/>
      <c r="H66" s="656"/>
      <c r="I66" s="656"/>
      <c r="J66" s="656"/>
      <c r="K66" s="656"/>
      <c r="L66" s="658">
        <f t="shared" si="3"/>
        <v>1000</v>
      </c>
    </row>
    <row r="67" spans="2:12" ht="12.75">
      <c r="B67" s="653" t="s">
        <v>57</v>
      </c>
      <c r="C67" s="656"/>
      <c r="D67" s="656"/>
      <c r="E67" s="656"/>
      <c r="F67" s="656"/>
      <c r="G67" s="656"/>
      <c r="H67" s="656"/>
      <c r="I67" s="656">
        <v>2568</v>
      </c>
      <c r="J67" s="656"/>
      <c r="K67" s="656">
        <v>500</v>
      </c>
      <c r="L67" s="658">
        <f t="shared" si="3"/>
        <v>3068</v>
      </c>
    </row>
    <row r="68" spans="2:12" ht="12.75">
      <c r="B68" s="653" t="s">
        <v>349</v>
      </c>
      <c r="C68" s="656"/>
      <c r="D68" s="656">
        <v>630</v>
      </c>
      <c r="E68" s="656">
        <v>86</v>
      </c>
      <c r="F68" s="656">
        <v>300</v>
      </c>
      <c r="G68" s="656"/>
      <c r="H68" s="656"/>
      <c r="I68" s="656">
        <v>3984</v>
      </c>
      <c r="J68" s="656"/>
      <c r="K68" s="656"/>
      <c r="L68" s="658">
        <f t="shared" si="3"/>
        <v>5000</v>
      </c>
    </row>
    <row r="69" spans="2:12" ht="12.75">
      <c r="B69" s="653" t="s">
        <v>115</v>
      </c>
      <c r="C69" s="656"/>
      <c r="D69" s="656">
        <v>448</v>
      </c>
      <c r="E69" s="656">
        <v>62</v>
      </c>
      <c r="F69" s="656">
        <v>820</v>
      </c>
      <c r="G69" s="656"/>
      <c r="H69" s="656"/>
      <c r="I69" s="656">
        <v>5170</v>
      </c>
      <c r="J69" s="656"/>
      <c r="K69" s="656"/>
      <c r="L69" s="658">
        <f t="shared" si="3"/>
        <v>6500</v>
      </c>
    </row>
    <row r="70" spans="2:12" ht="12.75">
      <c r="B70" s="653" t="s">
        <v>506</v>
      </c>
      <c r="C70" s="656">
        <v>1500</v>
      </c>
      <c r="D70" s="656"/>
      <c r="E70" s="656"/>
      <c r="F70" s="656">
        <v>900</v>
      </c>
      <c r="G70" s="656"/>
      <c r="H70" s="656"/>
      <c r="I70" s="656">
        <v>2100</v>
      </c>
      <c r="J70" s="656"/>
      <c r="K70" s="656"/>
      <c r="L70" s="658">
        <f t="shared" si="3"/>
        <v>4500</v>
      </c>
    </row>
    <row r="71" spans="2:12" ht="12.75">
      <c r="B71" s="653" t="s">
        <v>507</v>
      </c>
      <c r="C71" s="656"/>
      <c r="D71" s="656"/>
      <c r="E71" s="656"/>
      <c r="F71" s="656"/>
      <c r="G71" s="656"/>
      <c r="H71" s="656"/>
      <c r="I71" s="656">
        <v>4500</v>
      </c>
      <c r="J71" s="656"/>
      <c r="K71" s="656"/>
      <c r="L71" s="658">
        <f t="shared" si="3"/>
        <v>4500</v>
      </c>
    </row>
    <row r="72" spans="2:12" ht="12.75">
      <c r="B72" s="653" t="s">
        <v>508</v>
      </c>
      <c r="C72" s="656"/>
      <c r="D72" s="656"/>
      <c r="E72" s="656"/>
      <c r="F72" s="656">
        <v>420</v>
      </c>
      <c r="G72" s="656">
        <v>3000</v>
      </c>
      <c r="H72" s="656"/>
      <c r="I72" s="656">
        <v>4980</v>
      </c>
      <c r="J72" s="656"/>
      <c r="K72" s="656"/>
      <c r="L72" s="658">
        <f t="shared" si="3"/>
        <v>8400</v>
      </c>
    </row>
    <row r="73" spans="2:12" ht="12.75" hidden="1">
      <c r="B73" s="653" t="s">
        <v>508</v>
      </c>
      <c r="C73" s="656"/>
      <c r="D73" s="656"/>
      <c r="E73" s="656"/>
      <c r="F73" s="656"/>
      <c r="G73" s="656"/>
      <c r="H73" s="656"/>
      <c r="I73" s="656"/>
      <c r="J73" s="656"/>
      <c r="K73" s="656"/>
      <c r="L73" s="658">
        <f t="shared" si="3"/>
        <v>0</v>
      </c>
    </row>
    <row r="74" spans="2:12" ht="12.75">
      <c r="B74" s="653" t="s">
        <v>367</v>
      </c>
      <c r="C74" s="656"/>
      <c r="D74" s="656"/>
      <c r="E74" s="656"/>
      <c r="F74" s="656"/>
      <c r="G74" s="656"/>
      <c r="H74" s="656"/>
      <c r="I74" s="656">
        <v>2568</v>
      </c>
      <c r="J74" s="656"/>
      <c r="K74" s="656">
        <v>500</v>
      </c>
      <c r="L74" s="658">
        <f t="shared" si="3"/>
        <v>3068</v>
      </c>
    </row>
    <row r="75" spans="2:12" ht="12.75">
      <c r="B75" s="653" t="s">
        <v>61</v>
      </c>
      <c r="C75" s="656"/>
      <c r="D75" s="656">
        <v>30</v>
      </c>
      <c r="E75" s="656">
        <v>4</v>
      </c>
      <c r="F75" s="656">
        <v>200</v>
      </c>
      <c r="G75" s="656"/>
      <c r="H75" s="656"/>
      <c r="I75" s="656">
        <v>166</v>
      </c>
      <c r="J75" s="656"/>
      <c r="K75" s="656"/>
      <c r="L75" s="658">
        <f t="shared" si="3"/>
        <v>400</v>
      </c>
    </row>
    <row r="76" spans="2:12" ht="12.75">
      <c r="B76" s="653" t="s">
        <v>62</v>
      </c>
      <c r="C76" s="656"/>
      <c r="D76" s="656"/>
      <c r="E76" s="656"/>
      <c r="F76" s="656">
        <v>220</v>
      </c>
      <c r="G76" s="656">
        <v>1590</v>
      </c>
      <c r="H76" s="656"/>
      <c r="I76" s="656">
        <v>5940</v>
      </c>
      <c r="J76" s="656"/>
      <c r="K76" s="656"/>
      <c r="L76" s="658">
        <f t="shared" si="3"/>
        <v>7750</v>
      </c>
    </row>
    <row r="77" spans="2:12" ht="12.75">
      <c r="B77" s="653" t="s">
        <v>63</v>
      </c>
      <c r="C77" s="656"/>
      <c r="D77" s="656"/>
      <c r="E77" s="656"/>
      <c r="F77" s="656">
        <v>1500</v>
      </c>
      <c r="G77" s="656"/>
      <c r="H77" s="656"/>
      <c r="I77" s="656"/>
      <c r="J77" s="656"/>
      <c r="K77" s="656"/>
      <c r="L77" s="658">
        <f t="shared" si="3"/>
        <v>1500</v>
      </c>
    </row>
    <row r="78" spans="2:12" ht="12.75">
      <c r="B78" s="653" t="s">
        <v>64</v>
      </c>
      <c r="C78" s="656"/>
      <c r="D78" s="656"/>
      <c r="E78" s="656"/>
      <c r="F78" s="656">
        <v>500</v>
      </c>
      <c r="G78" s="656"/>
      <c r="H78" s="656"/>
      <c r="I78" s="656">
        <v>1900</v>
      </c>
      <c r="J78" s="656"/>
      <c r="K78" s="656"/>
      <c r="L78" s="658">
        <f t="shared" si="3"/>
        <v>2400</v>
      </c>
    </row>
    <row r="79" spans="2:12" ht="12.75">
      <c r="B79" s="653" t="s">
        <v>509</v>
      </c>
      <c r="C79" s="656"/>
      <c r="D79" s="656"/>
      <c r="E79" s="656"/>
      <c r="F79" s="656"/>
      <c r="G79" s="656"/>
      <c r="H79" s="656"/>
      <c r="I79" s="656">
        <v>2020</v>
      </c>
      <c r="J79" s="656"/>
      <c r="K79" s="656"/>
      <c r="L79" s="658">
        <f t="shared" si="3"/>
        <v>2020</v>
      </c>
    </row>
    <row r="80" spans="2:12" ht="12.75">
      <c r="B80" s="653" t="s">
        <v>510</v>
      </c>
      <c r="C80" s="656"/>
      <c r="D80" s="656">
        <v>500</v>
      </c>
      <c r="E80" s="656">
        <v>100</v>
      </c>
      <c r="F80" s="656">
        <v>1000</v>
      </c>
      <c r="G80" s="656">
        <v>2000</v>
      </c>
      <c r="H80" s="656"/>
      <c r="I80" s="656">
        <v>6400</v>
      </c>
      <c r="J80" s="656"/>
      <c r="K80" s="656"/>
      <c r="L80" s="658">
        <f t="shared" si="3"/>
        <v>10000</v>
      </c>
    </row>
    <row r="81" spans="2:12" ht="12.75">
      <c r="B81" s="653" t="s">
        <v>368</v>
      </c>
      <c r="C81" s="656">
        <v>500</v>
      </c>
      <c r="D81" s="656">
        <v>292</v>
      </c>
      <c r="E81" s="656">
        <v>41</v>
      </c>
      <c r="F81" s="656">
        <v>1000</v>
      </c>
      <c r="G81" s="656"/>
      <c r="H81" s="656"/>
      <c r="I81" s="656">
        <f>3267+2568</f>
        <v>5835</v>
      </c>
      <c r="J81" s="656"/>
      <c r="K81" s="656">
        <v>500</v>
      </c>
      <c r="L81" s="658">
        <f t="shared" si="3"/>
        <v>8168</v>
      </c>
    </row>
    <row r="82" spans="2:12" ht="12.75">
      <c r="B82" s="653" t="s">
        <v>66</v>
      </c>
      <c r="C82" s="656">
        <v>500</v>
      </c>
      <c r="D82" s="656">
        <v>423</v>
      </c>
      <c r="E82" s="656">
        <v>59</v>
      </c>
      <c r="F82" s="656">
        <v>1816</v>
      </c>
      <c r="G82" s="656"/>
      <c r="H82" s="656"/>
      <c r="I82" s="656">
        <v>5202</v>
      </c>
      <c r="J82" s="656"/>
      <c r="K82" s="656"/>
      <c r="L82" s="658">
        <f t="shared" si="3"/>
        <v>8000</v>
      </c>
    </row>
    <row r="83" spans="2:12" ht="12.75">
      <c r="B83" s="653" t="s">
        <v>511</v>
      </c>
      <c r="C83" s="656"/>
      <c r="D83" s="656">
        <v>911</v>
      </c>
      <c r="E83" s="656">
        <v>124</v>
      </c>
      <c r="F83" s="656">
        <v>600</v>
      </c>
      <c r="G83" s="656">
        <v>3900</v>
      </c>
      <c r="H83" s="656"/>
      <c r="I83" s="656">
        <f>7265+1284</f>
        <v>8549</v>
      </c>
      <c r="J83" s="656"/>
      <c r="K83" s="656">
        <v>500</v>
      </c>
      <c r="L83" s="658">
        <f t="shared" si="3"/>
        <v>14584</v>
      </c>
    </row>
    <row r="84" spans="2:12" ht="12.75">
      <c r="B84" s="653" t="s">
        <v>67</v>
      </c>
      <c r="C84" s="656"/>
      <c r="D84" s="656"/>
      <c r="E84" s="656"/>
      <c r="F84" s="656">
        <v>300</v>
      </c>
      <c r="G84" s="656"/>
      <c r="H84" s="656"/>
      <c r="I84" s="656">
        <f>800+2568</f>
        <v>3368</v>
      </c>
      <c r="J84" s="656"/>
      <c r="K84" s="656">
        <v>500</v>
      </c>
      <c r="L84" s="658">
        <f t="shared" si="3"/>
        <v>4168</v>
      </c>
    </row>
    <row r="85" spans="2:12" ht="12.75">
      <c r="B85" s="653" t="s">
        <v>468</v>
      </c>
      <c r="C85" s="656"/>
      <c r="D85" s="656"/>
      <c r="E85" s="656"/>
      <c r="F85" s="656"/>
      <c r="G85" s="656"/>
      <c r="H85" s="656"/>
      <c r="I85" s="656">
        <v>4400</v>
      </c>
      <c r="J85" s="656"/>
      <c r="K85" s="656"/>
      <c r="L85" s="658">
        <f t="shared" si="3"/>
        <v>4400</v>
      </c>
    </row>
    <row r="86" spans="2:12" ht="12.75">
      <c r="B86" s="653" t="s">
        <v>512</v>
      </c>
      <c r="C86" s="656"/>
      <c r="D86" s="656"/>
      <c r="E86" s="656"/>
      <c r="F86" s="656">
        <v>950</v>
      </c>
      <c r="G86" s="656"/>
      <c r="H86" s="656"/>
      <c r="I86" s="656"/>
      <c r="J86" s="656"/>
      <c r="K86" s="656"/>
      <c r="L86" s="658">
        <f t="shared" si="3"/>
        <v>950</v>
      </c>
    </row>
    <row r="87" spans="2:12" ht="12.75">
      <c r="B87" s="653" t="s">
        <v>513</v>
      </c>
      <c r="C87" s="656"/>
      <c r="D87" s="656">
        <v>175</v>
      </c>
      <c r="E87" s="656">
        <v>25</v>
      </c>
      <c r="F87" s="656"/>
      <c r="G87" s="656">
        <v>300</v>
      </c>
      <c r="H87" s="656"/>
      <c r="I87" s="656">
        <v>1000</v>
      </c>
      <c r="J87" s="656"/>
      <c r="K87" s="656"/>
      <c r="L87" s="658">
        <f t="shared" si="3"/>
        <v>1500</v>
      </c>
    </row>
    <row r="88" spans="2:12" ht="12.75">
      <c r="B88" s="653" t="s">
        <v>514</v>
      </c>
      <c r="C88" s="656"/>
      <c r="D88" s="656"/>
      <c r="E88" s="656"/>
      <c r="F88" s="656">
        <v>2500</v>
      </c>
      <c r="G88" s="656"/>
      <c r="H88" s="656"/>
      <c r="I88" s="656"/>
      <c r="J88" s="656"/>
      <c r="K88" s="656"/>
      <c r="L88" s="658">
        <f t="shared" si="3"/>
        <v>2500</v>
      </c>
    </row>
    <row r="89" spans="2:12" ht="12.75">
      <c r="B89" s="653" t="s">
        <v>369</v>
      </c>
      <c r="C89" s="656"/>
      <c r="D89" s="656"/>
      <c r="E89" s="656"/>
      <c r="F89" s="656"/>
      <c r="G89" s="656"/>
      <c r="H89" s="656"/>
      <c r="I89" s="656">
        <v>2568</v>
      </c>
      <c r="J89" s="656"/>
      <c r="K89" s="656">
        <v>500</v>
      </c>
      <c r="L89" s="658">
        <f t="shared" si="3"/>
        <v>3068</v>
      </c>
    </row>
    <row r="90" spans="2:12" ht="12.75">
      <c r="B90" s="653" t="s">
        <v>515</v>
      </c>
      <c r="C90" s="656"/>
      <c r="D90" s="656">
        <v>146</v>
      </c>
      <c r="E90" s="656">
        <v>21</v>
      </c>
      <c r="F90" s="656">
        <v>1000</v>
      </c>
      <c r="G90" s="656"/>
      <c r="H90" s="656"/>
      <c r="I90" s="656">
        <v>833</v>
      </c>
      <c r="J90" s="656"/>
      <c r="K90" s="656"/>
      <c r="L90" s="658">
        <f t="shared" si="3"/>
        <v>2000</v>
      </c>
    </row>
    <row r="91" spans="2:12" ht="12.75">
      <c r="B91" s="653" t="s">
        <v>70</v>
      </c>
      <c r="C91" s="656">
        <v>300</v>
      </c>
      <c r="D91" s="656"/>
      <c r="E91" s="656"/>
      <c r="F91" s="656">
        <v>1700</v>
      </c>
      <c r="G91" s="656"/>
      <c r="H91" s="656"/>
      <c r="I91" s="656">
        <v>7460</v>
      </c>
      <c r="J91" s="656"/>
      <c r="K91" s="656"/>
      <c r="L91" s="658">
        <f aca="true" t="shared" si="4" ref="L91:L100">SUM(C91:K91)</f>
        <v>9460</v>
      </c>
    </row>
    <row r="92" spans="2:12" ht="12.75">
      <c r="B92" s="653" t="s">
        <v>516</v>
      </c>
      <c r="C92" s="656">
        <v>400</v>
      </c>
      <c r="D92" s="656"/>
      <c r="E92" s="656"/>
      <c r="F92" s="656">
        <v>400</v>
      </c>
      <c r="G92" s="656"/>
      <c r="H92" s="656"/>
      <c r="I92" s="656">
        <f>2500+2568</f>
        <v>5068</v>
      </c>
      <c r="J92" s="656"/>
      <c r="K92" s="656">
        <v>500</v>
      </c>
      <c r="L92" s="658">
        <f t="shared" si="4"/>
        <v>6368</v>
      </c>
    </row>
    <row r="93" spans="2:12" ht="12.75">
      <c r="B93" s="653" t="s">
        <v>517</v>
      </c>
      <c r="C93" s="656"/>
      <c r="D93" s="656">
        <v>144</v>
      </c>
      <c r="E93" s="656">
        <v>20</v>
      </c>
      <c r="F93" s="656">
        <v>200</v>
      </c>
      <c r="G93" s="656"/>
      <c r="H93" s="656"/>
      <c r="I93" s="656">
        <f>636+2568</f>
        <v>3204</v>
      </c>
      <c r="J93" s="656"/>
      <c r="K93" s="656">
        <v>500</v>
      </c>
      <c r="L93" s="658">
        <f t="shared" si="4"/>
        <v>4068</v>
      </c>
    </row>
    <row r="94" spans="2:12" ht="12.75">
      <c r="B94" s="653" t="s">
        <v>467</v>
      </c>
      <c r="C94" s="656"/>
      <c r="D94" s="656"/>
      <c r="E94" s="656"/>
      <c r="F94" s="656">
        <v>450</v>
      </c>
      <c r="G94" s="656"/>
      <c r="H94" s="656"/>
      <c r="I94" s="656">
        <v>2000</v>
      </c>
      <c r="J94" s="656"/>
      <c r="K94" s="656"/>
      <c r="L94" s="658">
        <f t="shared" si="4"/>
        <v>2450</v>
      </c>
    </row>
    <row r="95" spans="2:12" ht="12.75">
      <c r="B95" s="653" t="s">
        <v>518</v>
      </c>
      <c r="C95" s="656"/>
      <c r="D95" s="656"/>
      <c r="E95" s="656"/>
      <c r="F95" s="656"/>
      <c r="G95" s="656">
        <v>1400</v>
      </c>
      <c r="H95" s="656"/>
      <c r="I95" s="656">
        <v>6600</v>
      </c>
      <c r="J95" s="656"/>
      <c r="K95" s="656"/>
      <c r="L95" s="658">
        <f t="shared" si="4"/>
        <v>8000</v>
      </c>
    </row>
    <row r="96" spans="2:12" ht="12.75" hidden="1">
      <c r="B96" s="653" t="s">
        <v>48</v>
      </c>
      <c r="C96" s="656"/>
      <c r="D96" s="656"/>
      <c r="E96" s="656"/>
      <c r="F96" s="656"/>
      <c r="G96" s="656"/>
      <c r="H96" s="656"/>
      <c r="I96" s="656"/>
      <c r="J96" s="656"/>
      <c r="K96" s="656"/>
      <c r="L96" s="658">
        <f t="shared" si="4"/>
        <v>0</v>
      </c>
    </row>
    <row r="97" spans="2:12" ht="24">
      <c r="B97" s="663" t="s">
        <v>65</v>
      </c>
      <c r="C97" s="656"/>
      <c r="D97" s="656"/>
      <c r="E97" s="656"/>
      <c r="F97" s="656">
        <v>2000</v>
      </c>
      <c r="G97" s="656">
        <v>3000</v>
      </c>
      <c r="H97" s="656"/>
      <c r="I97" s="656">
        <v>500</v>
      </c>
      <c r="J97" s="656"/>
      <c r="K97" s="656"/>
      <c r="L97" s="658">
        <f t="shared" si="4"/>
        <v>5500</v>
      </c>
    </row>
    <row r="98" spans="2:12" ht="12.75">
      <c r="B98" s="663" t="s">
        <v>71</v>
      </c>
      <c r="C98" s="656"/>
      <c r="D98" s="656"/>
      <c r="E98" s="656"/>
      <c r="F98" s="656"/>
      <c r="G98" s="656"/>
      <c r="H98" s="656"/>
      <c r="I98" s="656">
        <v>2568</v>
      </c>
      <c r="J98" s="656"/>
      <c r="K98" s="656">
        <v>500</v>
      </c>
      <c r="L98" s="658">
        <f t="shared" si="4"/>
        <v>3068</v>
      </c>
    </row>
    <row r="99" spans="2:12" ht="12.75">
      <c r="B99" s="653" t="s">
        <v>45</v>
      </c>
      <c r="C99" s="656"/>
      <c r="D99" s="656"/>
      <c r="E99" s="656"/>
      <c r="F99" s="656">
        <v>1500</v>
      </c>
      <c r="G99" s="656"/>
      <c r="H99" s="656"/>
      <c r="I99" s="656">
        <v>6500</v>
      </c>
      <c r="J99" s="656"/>
      <c r="K99" s="656"/>
      <c r="L99" s="658">
        <f>SUM(C99:K99)</f>
        <v>8000</v>
      </c>
    </row>
    <row r="100" spans="2:12" ht="12.75">
      <c r="B100" s="653" t="s">
        <v>10</v>
      </c>
      <c r="C100" s="656"/>
      <c r="D100" s="656"/>
      <c r="E100" s="656"/>
      <c r="F100" s="656">
        <v>3200</v>
      </c>
      <c r="G100" s="656">
        <v>7200</v>
      </c>
      <c r="H100" s="656"/>
      <c r="I100" s="656">
        <v>13600</v>
      </c>
      <c r="J100" s="656"/>
      <c r="K100" s="656"/>
      <c r="L100" s="658">
        <f t="shared" si="4"/>
        <v>24000</v>
      </c>
    </row>
    <row r="101" spans="2:12" ht="38.25">
      <c r="B101" s="661" t="s">
        <v>68</v>
      </c>
      <c r="C101" s="660"/>
      <c r="D101" s="660"/>
      <c r="E101" s="660"/>
      <c r="F101" s="660">
        <f>SUM(F102:F106)</f>
        <v>9000</v>
      </c>
      <c r="G101" s="660">
        <f>SUM(G102:G106)</f>
        <v>1000</v>
      </c>
      <c r="H101" s="660">
        <f>SUM(H102:H106)</f>
        <v>19500</v>
      </c>
      <c r="I101" s="660"/>
      <c r="J101" s="660"/>
      <c r="K101" s="660"/>
      <c r="L101" s="662">
        <f>SUM(L102:L106)</f>
        <v>29500</v>
      </c>
    </row>
    <row r="102" spans="2:12" ht="12.75">
      <c r="B102" s="657" t="s">
        <v>477</v>
      </c>
      <c r="C102" s="658"/>
      <c r="D102" s="658"/>
      <c r="E102" s="658"/>
      <c r="F102" s="658">
        <v>4500</v>
      </c>
      <c r="G102" s="658"/>
      <c r="H102" s="658"/>
      <c r="I102" s="658"/>
      <c r="J102" s="658"/>
      <c r="K102" s="658"/>
      <c r="L102" s="658">
        <f>SUM(C102:K102)</f>
        <v>4500</v>
      </c>
    </row>
    <row r="103" spans="2:12" ht="12.75">
      <c r="B103" s="653" t="s">
        <v>485</v>
      </c>
      <c r="C103" s="656"/>
      <c r="D103" s="656"/>
      <c r="E103" s="656"/>
      <c r="F103" s="656">
        <v>4500</v>
      </c>
      <c r="G103" s="656"/>
      <c r="H103" s="656"/>
      <c r="I103" s="656"/>
      <c r="J103" s="656"/>
      <c r="K103" s="656"/>
      <c r="L103" s="656">
        <f>SUM(C103:K103)</f>
        <v>4500</v>
      </c>
    </row>
    <row r="104" spans="2:12" ht="12.75">
      <c r="B104" s="653" t="s">
        <v>349</v>
      </c>
      <c r="C104" s="656"/>
      <c r="D104" s="656"/>
      <c r="E104" s="656"/>
      <c r="F104" s="656"/>
      <c r="G104" s="656"/>
      <c r="H104" s="656">
        <v>15000</v>
      </c>
      <c r="I104" s="656"/>
      <c r="J104" s="656"/>
      <c r="K104" s="656"/>
      <c r="L104" s="656">
        <f>SUM(C104:K104)</f>
        <v>15000</v>
      </c>
    </row>
    <row r="105" spans="2:14" ht="12.75">
      <c r="B105" s="653" t="s">
        <v>506</v>
      </c>
      <c r="C105" s="656"/>
      <c r="D105" s="656"/>
      <c r="E105" s="656"/>
      <c r="F105" s="656"/>
      <c r="G105" s="656"/>
      <c r="H105" s="656">
        <v>4500</v>
      </c>
      <c r="I105" s="656"/>
      <c r="J105" s="656"/>
      <c r="K105" s="656"/>
      <c r="L105" s="656">
        <f>SUM(C105:K105)</f>
        <v>4500</v>
      </c>
      <c r="N105" s="82"/>
    </row>
    <row r="106" spans="2:12" ht="12.75">
      <c r="B106" s="653" t="s">
        <v>46</v>
      </c>
      <c r="C106" s="656"/>
      <c r="D106" s="656"/>
      <c r="E106" s="656"/>
      <c r="F106" s="656"/>
      <c r="G106" s="656">
        <v>1000</v>
      </c>
      <c r="H106" s="656"/>
      <c r="I106" s="656"/>
      <c r="J106" s="656"/>
      <c r="K106" s="656"/>
      <c r="L106" s="656">
        <f>SUM(C106:K106)</f>
        <v>1000</v>
      </c>
    </row>
    <row r="107" ht="12.75">
      <c r="L107" s="82"/>
    </row>
  </sheetData>
  <printOptions/>
  <pageMargins left="0.5905511811023623" right="0.5905511811023623" top="0.7874015748031497" bottom="0.7874015748031497" header="0.5118110236220472" footer="0.5118110236220472"/>
  <pageSetup firstPageNumber="50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Urząd Miejski w Lublinie Urzą</cp:lastModifiedBy>
  <cp:lastPrinted>2003-04-07T09:12:04Z</cp:lastPrinted>
  <dcterms:created xsi:type="dcterms:W3CDTF">1999-10-22T05:56:32Z</dcterms:created>
  <dcterms:modified xsi:type="dcterms:W3CDTF">2002-11-17T19:12:51Z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