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55" windowHeight="6075" activeTab="0"/>
  </bookViews>
  <sheets>
    <sheet name="inwest" sheetId="1" r:id="rId1"/>
  </sheets>
  <definedNames>
    <definedName name="_xlnm.Print_Titles" localSheetId="0">'inwest'!$7:$11</definedName>
  </definedNames>
  <calcPr fullCalcOnLoad="1"/>
</workbook>
</file>

<file path=xl/sharedStrings.xml><?xml version="1.0" encoding="utf-8"?>
<sst xmlns="http://schemas.openxmlformats.org/spreadsheetml/2006/main" count="252" uniqueCount="212">
  <si>
    <t>w złotych</t>
  </si>
  <si>
    <t xml:space="preserve">Wielkość </t>
  </si>
  <si>
    <t>Wydatki</t>
  </si>
  <si>
    <t>z tego:</t>
  </si>
  <si>
    <t>Dział</t>
  </si>
  <si>
    <t>Rozdz.</t>
  </si>
  <si>
    <t xml:space="preserve">   Nazwa: działu, rozdziału, </t>
  </si>
  <si>
    <t>Zakres rzeczowy</t>
  </si>
  <si>
    <t>Lata</t>
  </si>
  <si>
    <t>zrealizo-</t>
  </si>
  <si>
    <t>majątkowe</t>
  </si>
  <si>
    <t>ze środków</t>
  </si>
  <si>
    <t xml:space="preserve">ze </t>
  </si>
  <si>
    <t>realizacji</t>
  </si>
  <si>
    <t>kosztory-</t>
  </si>
  <si>
    <t xml:space="preserve">wanych </t>
  </si>
  <si>
    <t xml:space="preserve">własnych </t>
  </si>
  <si>
    <t>środków</t>
  </si>
  <si>
    <t>sowa</t>
  </si>
  <si>
    <t>nakładów</t>
  </si>
  <si>
    <t>budżetu państwa</t>
  </si>
  <si>
    <t>Wydatki na zadania własne</t>
  </si>
  <si>
    <t>Pozostała działalność</t>
  </si>
  <si>
    <t>Transport i łączność</t>
  </si>
  <si>
    <t>Drogi publiczne w miastach na prawach powiatu</t>
  </si>
  <si>
    <t>dokumentacja techniczna</t>
  </si>
  <si>
    <t>Drogi publiczne gminne</t>
  </si>
  <si>
    <t>zakupy inwestycyjne</t>
  </si>
  <si>
    <t>Gospodarka mieszkaniowa</t>
  </si>
  <si>
    <t>Administracja publiczna</t>
  </si>
  <si>
    <t>Bezpieczeństwo publiczne i ochrona przeciwpożarowa</t>
  </si>
  <si>
    <t>Komendy powiatowe Państwowej Straży Pożarnej</t>
  </si>
  <si>
    <t>Oświata i wychowanie</t>
  </si>
  <si>
    <t>Szkoły podstawowe</t>
  </si>
  <si>
    <t>Gimnazja</t>
  </si>
  <si>
    <t>Ochrona zdrowia</t>
  </si>
  <si>
    <t>modernizacje obiektów</t>
  </si>
  <si>
    <t>Domy pomocy społecznej</t>
  </si>
  <si>
    <t>Gospodarka komunalna i ochrona środowiska</t>
  </si>
  <si>
    <t>Gospodarka ściekowa i ochrona wód</t>
  </si>
  <si>
    <t>wykup gruntów</t>
  </si>
  <si>
    <t>infrastruktura techniczna dla inwestorów budownictwa wielorodzinnego</t>
  </si>
  <si>
    <t>inwestycje realizowane przy udziale mieszkańców</t>
  </si>
  <si>
    <t>dokumentacja przyszłościowa</t>
  </si>
  <si>
    <t>Kultura i ochrona dziedzictwa narodowego</t>
  </si>
  <si>
    <t>Pozostałe zadania w zakresie kultury</t>
  </si>
  <si>
    <t>Ochrona i konserwacja zabytków</t>
  </si>
  <si>
    <t xml:space="preserve">trasa turystyczna </t>
  </si>
  <si>
    <t>Kultura fizyczna i sport</t>
  </si>
  <si>
    <t>Obiekty sportowe</t>
  </si>
  <si>
    <t>boiska osiedlowe</t>
  </si>
  <si>
    <t>Instytucje kultury fizycznej</t>
  </si>
  <si>
    <t>Wydatki na zadania zlecone</t>
  </si>
  <si>
    <t>w tym:</t>
  </si>
  <si>
    <t>Wydatki na zadania ustawowo zlecone gminie</t>
  </si>
  <si>
    <t>Wydatki na zadania z zakresu administracji rządowej wykonywane przez powiat</t>
  </si>
  <si>
    <t>trasa zielona</t>
  </si>
  <si>
    <t>Gimnazjum Nr 3</t>
  </si>
  <si>
    <t>Szkoły zawodowe</t>
  </si>
  <si>
    <t>Ośrodki wsparcia</t>
  </si>
  <si>
    <t>Oczyszczanie miast i wsi</t>
  </si>
  <si>
    <t>Zespół Szkół Nr 5</t>
  </si>
  <si>
    <t>ul. Willowa</t>
  </si>
  <si>
    <t>budownictwo mieszkaniowe komunalne 
i socjalne</t>
  </si>
  <si>
    <t>Urzędy miast i miast na prawach powiatu</t>
  </si>
  <si>
    <t>budżetu miasta</t>
  </si>
  <si>
    <t>Ogółem wydatki majątkowe</t>
  </si>
  <si>
    <t>węzeł drogowy Poniatowskiego (wiadukt 
z połączeniem do ul. ks. Popiełuszki)</t>
  </si>
  <si>
    <t xml:space="preserve">składowisko odpadów w Rokitnie zad. 1 </t>
  </si>
  <si>
    <t>przebudowa al. Spółdzielczości Pracy</t>
  </si>
  <si>
    <t>ul. Wyżynna</t>
  </si>
  <si>
    <t>system monitoringu w mieście</t>
  </si>
  <si>
    <t>zakup samochodu ratowniczo-gaśniczego</t>
  </si>
  <si>
    <t>sieć wodociągowa w ul. Prusa</t>
  </si>
  <si>
    <t>2001-2004</t>
  </si>
  <si>
    <t>2003-2004</t>
  </si>
  <si>
    <t>1999-2005</t>
  </si>
  <si>
    <t>1994-2005</t>
  </si>
  <si>
    <t>2002-2007</t>
  </si>
  <si>
    <t>2003 - 2004</t>
  </si>
  <si>
    <t>1996-2006</t>
  </si>
  <si>
    <t>2001-2005</t>
  </si>
  <si>
    <t>1995-2005</t>
  </si>
  <si>
    <t>1994-2004</t>
  </si>
  <si>
    <t>Zakłady gospodarki mieszkaniowej</t>
  </si>
  <si>
    <t>modernizacje budynków</t>
  </si>
  <si>
    <t xml:space="preserve">modernizacje budynków </t>
  </si>
  <si>
    <t>iluminacja bazyliki oo. Dominikanów</t>
  </si>
  <si>
    <t>2003-2005</t>
  </si>
  <si>
    <t>Wydatki na zadania realizowane na podstawie porozumień i umów</t>
  </si>
  <si>
    <t xml:space="preserve">pożyczek </t>
  </si>
  <si>
    <t>i innych środków</t>
  </si>
  <si>
    <t>2002-2005</t>
  </si>
  <si>
    <t xml:space="preserve">budowa i modernizacja zatok, chodników, parkingów i kładek dla pieszych </t>
  </si>
  <si>
    <t>Centra kultury i sztuki</t>
  </si>
  <si>
    <t>Zadania w zakresie kultury fizycznej 
i sportu</t>
  </si>
  <si>
    <t>pomoc finansowa dla gminy Lubartów 
na inwestycje</t>
  </si>
  <si>
    <t xml:space="preserve"> </t>
  </si>
  <si>
    <t>na 2004 rok</t>
  </si>
  <si>
    <t>Licea ogólnokształcące</t>
  </si>
  <si>
    <t>Planowane wydatki majątkowe na 2004 rok</t>
  </si>
  <si>
    <t>budowa boisk</t>
  </si>
  <si>
    <t>zabezpieczenie przeciwpowodziowe w cofce Zbiornika Zemborzyckiego</t>
  </si>
  <si>
    <t>Pomoc społeczna</t>
  </si>
  <si>
    <t>2000-2005</t>
  </si>
  <si>
    <t xml:space="preserve">roboty drogowe, przebudowa uzbrojenia </t>
  </si>
  <si>
    <t>przebudowa uzbrojenia, roboty drogowe</t>
  </si>
  <si>
    <t>1997-2005</t>
  </si>
  <si>
    <t xml:space="preserve">roboty budowlane </t>
  </si>
  <si>
    <t>sprawy terenowo - prawne</t>
  </si>
  <si>
    <t>2003-2006</t>
  </si>
  <si>
    <t>1996-2005</t>
  </si>
  <si>
    <t>modernizacja obiektu</t>
  </si>
  <si>
    <t>2002 - 2005</t>
  </si>
  <si>
    <t>1997 - 2005</t>
  </si>
  <si>
    <t>prace związane z budową systemu odgazowania wysypiska z gospodarczym wykorzystaniem ujmowanego biogazu</t>
  </si>
  <si>
    <t>przebudowa muru oporowego</t>
  </si>
  <si>
    <t>zakup specjalistycznego  samochodu pożarniczego</t>
  </si>
  <si>
    <t>Przeciwdziałanie alkoholizmowi</t>
  </si>
  <si>
    <t>sprawy terenowo - prawne, rozpoczęcie przebudowy uzbrojenia podziemnego na odcinku od ul. Tarasowej do ul. Sławinkowskiej</t>
  </si>
  <si>
    <t>przedłużenie ul. Krańcowej do ul. Kunickiego wraz z mostem na rzece Czerniejówce</t>
  </si>
  <si>
    <t xml:space="preserve">wyposażenie  </t>
  </si>
  <si>
    <t>2002-2004</t>
  </si>
  <si>
    <t xml:space="preserve">Wartość </t>
  </si>
  <si>
    <t>Załącznik Nr 4</t>
  </si>
  <si>
    <t>Rady Miasta Lublin</t>
  </si>
  <si>
    <t>z dnia</t>
  </si>
  <si>
    <t>z kredytów,</t>
  </si>
  <si>
    <t xml:space="preserve">                 zadania inwestycyjnego</t>
  </si>
  <si>
    <t>1999-2008</t>
  </si>
  <si>
    <t>przebudowa ul. Królewskiej wraz 
z placem Katedralnym</t>
  </si>
  <si>
    <t>przebudowa ul. Poniatowskiego 
i ul. Sowińskiego (od ul. ks. Popiełuszki 
do ul. Filaretów)</t>
  </si>
  <si>
    <t>roboty termomodernizacyjne</t>
  </si>
  <si>
    <t>2004-2006</t>
  </si>
  <si>
    <t xml:space="preserve">sieć kanalizacji sanitarnej i deszczowej 
od ul. Dominikańskiej  do ul. Podwale </t>
  </si>
  <si>
    <t>odsetki od zaciągniętych pożyczek</t>
  </si>
  <si>
    <t>adaptacja klasztoru powizytkowskiego na wielofunkcyjne Centrum Kultury</t>
  </si>
  <si>
    <t>budowa zakładu utylizacji odpadów komunalnych dla Lublina i gmin ościennych</t>
  </si>
  <si>
    <t>1991-2006</t>
  </si>
  <si>
    <t>Towarzystwa budownictwa społecznego</t>
  </si>
  <si>
    <t>udział w Towarzystwie Budownictwa Społecznego "Nowy Dom" - budownictwo mieszkaniowe</t>
  </si>
  <si>
    <t>modernizacja budynku Dziennego Ośrodka Adaptacyjnego przy ul. Poturzyńskiej</t>
  </si>
  <si>
    <t>wyposażenie muszli koncertowej</t>
  </si>
  <si>
    <t>roboty wykończeniowe i instalacyjne</t>
  </si>
  <si>
    <t>termomodernizacje obiektów szkolnych</t>
  </si>
  <si>
    <t>Zespół Szkół Nr 1</t>
  </si>
  <si>
    <t>1992-2005</t>
  </si>
  <si>
    <t>zakup sprzętu komputerowego</t>
  </si>
  <si>
    <t>Ośrodki pomocy społecznej</t>
  </si>
  <si>
    <t>Zespoły do spraw orzekania 
o niepełnosprawności</t>
  </si>
  <si>
    <t>zakup komputera oraz kserokopiarki</t>
  </si>
  <si>
    <t>budowa gimnazjum przy ul. Roztocze</t>
  </si>
  <si>
    <t>montaż 4 kamer</t>
  </si>
  <si>
    <t>Szkoła Podstawowa Nr 51 w os. Widok</t>
  </si>
  <si>
    <t>segment Nr 6 - rozpoczęcie realizacji</t>
  </si>
  <si>
    <t>Plac Rybny ze schodami do ul. Kowalskiej</t>
  </si>
  <si>
    <t>mała architektura i zieleń</t>
  </si>
  <si>
    <t xml:space="preserve">przebudowa uzbrojenia, roboty budowlane </t>
  </si>
  <si>
    <t>ścieżki rowerowe</t>
  </si>
  <si>
    <t>zakup sprzętu komputerowego, centrali telefonicznej, kserokopiarki i samochodów</t>
  </si>
  <si>
    <t>sala gimnastyczna - stan surowy otwarty</t>
  </si>
  <si>
    <t xml:space="preserve">kontynuacja budowy segmentu gimnazjum </t>
  </si>
  <si>
    <t>opracowanie projektu modernizacji budynku, wykonanie przyłącza do miejskiej sieci wodociągowej - DPS Betania</t>
  </si>
  <si>
    <t>sieć wodociągowa w ul. Mełgiewskiej</t>
  </si>
  <si>
    <t>odprowadzenie wód deszczowych z osiedli: Szerokie, Lipniak, Węglin Południowy 
i Północny, Sławin</t>
  </si>
  <si>
    <t>budowa wielofunkcyjnej hali sportowo-widowiskowej i lodowiska treningowego przy 
ul. Kazimierza Wielkiego</t>
  </si>
  <si>
    <t>Pozostałe zadania w zakresie polityki społecznej</t>
  </si>
  <si>
    <t xml:space="preserve">do uchwały Nr              </t>
  </si>
  <si>
    <t xml:space="preserve">przebudowa uzbrojenia al. Piłsudskiego -  trakcja trolejbusowa </t>
  </si>
  <si>
    <t>dokończenie budowy muru oporowego, przebudowa placu Katedralnego</t>
  </si>
  <si>
    <t>dokumentacja techniczna, sprawy terenowo - prawne</t>
  </si>
  <si>
    <t xml:space="preserve">odbudowa przewałów i rowów opaskowych </t>
  </si>
  <si>
    <t>Szkoła Podstawowa Nr 52 w os. Felin</t>
  </si>
  <si>
    <t>dofinansowanie zakupu samochodu ratowniczo-gaśniczego dla JRG Nr 1</t>
  </si>
  <si>
    <t xml:space="preserve">sprawy terenowo - prawne, przebudowa uzbrojenia podziemnego, oświetlenie, roboty drogowe od 
al. Smorawińskiego do granic miasta </t>
  </si>
  <si>
    <t>przebudowa ulic: 3- go Maja 
i Radziwiłłowskiej wraz ze skrzyżowaniami</t>
  </si>
  <si>
    <t>połączenie ul. Głębokiej z ul. Spadochroniarzy</t>
  </si>
  <si>
    <t>przebudowa ul. Budowlanej 
(od ul. Zemborzyckiej do ul. Smoluchowskiego)</t>
  </si>
  <si>
    <t>ul. Bursaki (połączenie z al. Smorawińskiego)</t>
  </si>
  <si>
    <t>budowa budynków wielorodzinnych przy 
ul. Kazimierza Jagiellończyka w os. Felin</t>
  </si>
  <si>
    <t xml:space="preserve">mur oporowy oddzielający boisko II LO 
im. Zamoyskiego od posesji Starostwa Powiatowego przy ul. Spokojnej </t>
  </si>
  <si>
    <t>część "A" i część "B"  za dylatacją - zakończenie, wyposażenie</t>
  </si>
  <si>
    <t>2004-2008</t>
  </si>
  <si>
    <t>studium wykonalności, dokumentacja techniczna</t>
  </si>
  <si>
    <t>iluminacja bazyliki</t>
  </si>
  <si>
    <t xml:space="preserve">poszerzenie drugiej strony al. Solidarności (krawężniki, ściek, podbudowa), dokumentacje na łącznice Nr 1 i 8 oraz Nr 6 i 7  </t>
  </si>
  <si>
    <t>okablowanie budynków, rozbudowa światłowodu</t>
  </si>
  <si>
    <t xml:space="preserve">budowa szkoły - rozpoczęcie </t>
  </si>
  <si>
    <t>Szkoła Podstawowa Nr 39 przy ul. Krężnickiej</t>
  </si>
  <si>
    <t>rozbudowa Szkoły Podstawowej Nr 21 - I etap</t>
  </si>
  <si>
    <t>przedłużenie ul. Jana Pawła II do al. Kraśnickiej</t>
  </si>
  <si>
    <t>segment "E" - sportowy - kontynuacja</t>
  </si>
  <si>
    <t>kontynuacja budowy segmentu gimnazjum</t>
  </si>
  <si>
    <t>budowa boisk w os. Felin i os. Nałkowskich</t>
  </si>
  <si>
    <t xml:space="preserve">wykonanie sieci </t>
  </si>
  <si>
    <t>sprawy terenowo - prawne, budowa cieku wodnego spod Konopnicy na odcinku od ul. Wojciechowskiej
do ul. Lazurowej</t>
  </si>
  <si>
    <t>Gospodarka odpadami</t>
  </si>
  <si>
    <t>prace dokumentacyjne związane z budową zakładu utylizacji odpadów komunalnych</t>
  </si>
  <si>
    <t>zakończenie budowy boiska w os. Kalinowszczyzna "F"</t>
  </si>
  <si>
    <t>Działalność usługowa</t>
  </si>
  <si>
    <t>udziały w "Lubelskim Parku Naukowo-Technologicznym" Sp. z o.o.</t>
  </si>
  <si>
    <t>objęcie udziałów w kapitale zakładowym Spółki</t>
  </si>
  <si>
    <t>ocieplenie budynku przy ul. Glinianej 5, przebudowa kanalizacji sanitarnej - wg potrzeb</t>
  </si>
  <si>
    <t xml:space="preserve">zakończenie robót sieci głównej oraz przyłącza 
do posesji Nr 39 </t>
  </si>
  <si>
    <t>skatepark w os. Błonie</t>
  </si>
  <si>
    <t>budowa Parków Sportowych - skateparków</t>
  </si>
  <si>
    <t>budowy szkoły - I etap</t>
  </si>
  <si>
    <t>obwodnica miejska od węzła al. Tysiąclecia - 
ul. Hutnicza do ul. Mełgiewskiej</t>
  </si>
  <si>
    <t>kontynuacja budowy 3 budynków komunalnych 
w os. Felin</t>
  </si>
  <si>
    <t>PREZYDENT</t>
  </si>
  <si>
    <t>Miasta Lublin</t>
  </si>
  <si>
    <t>Andrzej Pruszkowski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</si>
</sst>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  <numFmt numFmtId="176" formatCode="#,##0.0"/>
    <numFmt numFmtId="177" formatCode="\1000,000"/>
    <numFmt numFmtId="178" formatCode="\1\ 000,000"/>
    <numFmt numFmtId="179" formatCode="#\.##0"/>
    <numFmt numFmtId="180" formatCode="#\.###\.##0"/>
    <numFmt numFmtId="181" formatCode="0.0%"/>
  </numFmts>
  <fonts count="12">
    <font>
      <sz val="10"/>
      <name val="Arial CE"/>
      <family val="0"/>
    </font>
    <font>
      <sz val="11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9"/>
      <name val="Arial CE"/>
      <family val="0"/>
    </font>
    <font>
      <b/>
      <sz val="9"/>
      <name val="Arial CE"/>
      <family val="2"/>
    </font>
    <font>
      <b/>
      <i/>
      <sz val="11"/>
      <name val="Arial CE"/>
      <family val="0"/>
    </font>
    <font>
      <b/>
      <i/>
      <sz val="9"/>
      <name val="Arial CE"/>
      <family val="2"/>
    </font>
    <font>
      <sz val="12"/>
      <name val="Arial CE"/>
      <family val="2"/>
    </font>
    <font>
      <sz val="9"/>
      <color indexed="8"/>
      <name val="Arial CE"/>
      <family val="2"/>
    </font>
    <font>
      <b/>
      <sz val="14"/>
      <name val="Arial CE"/>
      <family val="2"/>
    </font>
    <font>
      <b/>
      <sz val="15"/>
      <name val="Arial CE"/>
      <family val="2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70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thin"/>
      <right style="medium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tted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9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1" fillId="0" borderId="0" xfId="0" applyFont="1" applyAlignment="1">
      <alignment/>
    </xf>
    <xf numFmtId="1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" fontId="3" fillId="0" borderId="5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/>
    </xf>
    <xf numFmtId="1" fontId="4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1" fontId="3" fillId="2" borderId="16" xfId="0" applyNumberFormat="1" applyFont="1" applyFill="1" applyBorder="1" applyAlignment="1">
      <alignment/>
    </xf>
    <xf numFmtId="3" fontId="3" fillId="2" borderId="14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1" fontId="3" fillId="0" borderId="8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3" fontId="1" fillId="0" borderId="16" xfId="0" applyNumberFormat="1" applyFont="1" applyBorder="1" applyAlignment="1">
      <alignment wrapText="1"/>
    </xf>
    <xf numFmtId="3" fontId="1" fillId="0" borderId="16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1" fontId="3" fillId="0" borderId="16" xfId="0" applyNumberFormat="1" applyFont="1" applyBorder="1" applyAlignment="1">
      <alignment vertical="top"/>
    </xf>
    <xf numFmtId="3" fontId="3" fillId="0" borderId="16" xfId="0" applyNumberFormat="1" applyFont="1" applyBorder="1" applyAlignment="1">
      <alignment wrapText="1"/>
    </xf>
    <xf numFmtId="1" fontId="1" fillId="0" borderId="8" xfId="0" applyNumberFormat="1" applyFont="1" applyBorder="1" applyAlignment="1">
      <alignment/>
    </xf>
    <xf numFmtId="3" fontId="1" fillId="0" borderId="17" xfId="0" applyNumberFormat="1" applyFont="1" applyBorder="1" applyAlignment="1">
      <alignment wrapText="1"/>
    </xf>
    <xf numFmtId="0" fontId="1" fillId="0" borderId="18" xfId="0" applyFont="1" applyBorder="1" applyAlignment="1">
      <alignment horizontal="center" wrapText="1"/>
    </xf>
    <xf numFmtId="3" fontId="1" fillId="0" borderId="18" xfId="0" applyNumberFormat="1" applyFont="1" applyBorder="1" applyAlignment="1">
      <alignment horizontal="right" wrapText="1"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 wrapText="1"/>
    </xf>
    <xf numFmtId="3" fontId="1" fillId="0" borderId="18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4" fillId="0" borderId="19" xfId="0" applyFont="1" applyBorder="1" applyAlignment="1">
      <alignment horizontal="center" wrapText="1"/>
    </xf>
    <xf numFmtId="3" fontId="1" fillId="0" borderId="20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1" fillId="0" borderId="19" xfId="0" applyFont="1" applyBorder="1" applyAlignment="1">
      <alignment horizontal="center" wrapText="1"/>
    </xf>
    <xf numFmtId="3" fontId="1" fillId="0" borderId="19" xfId="0" applyNumberFormat="1" applyFont="1" applyBorder="1" applyAlignment="1">
      <alignment horizontal="right" wrapText="1"/>
    </xf>
    <xf numFmtId="3" fontId="1" fillId="0" borderId="18" xfId="0" applyNumberFormat="1" applyFont="1" applyBorder="1" applyAlignment="1">
      <alignment horizontal="right" wrapText="1"/>
    </xf>
    <xf numFmtId="0" fontId="4" fillId="0" borderId="18" xfId="0" applyFont="1" applyBorder="1" applyAlignment="1">
      <alignment horizontal="center" wrapText="1"/>
    </xf>
    <xf numFmtId="3" fontId="1" fillId="0" borderId="20" xfId="0" applyNumberFormat="1" applyFont="1" applyBorder="1" applyAlignment="1">
      <alignment/>
    </xf>
    <xf numFmtId="3" fontId="1" fillId="0" borderId="16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/>
    </xf>
    <xf numFmtId="3" fontId="3" fillId="2" borderId="16" xfId="0" applyNumberFormat="1" applyFont="1" applyFill="1" applyBorder="1" applyAlignment="1">
      <alignment/>
    </xf>
    <xf numFmtId="3" fontId="4" fillId="0" borderId="16" xfId="0" applyNumberFormat="1" applyFont="1" applyBorder="1" applyAlignment="1">
      <alignment horizontal="center" wrapText="1"/>
    </xf>
    <xf numFmtId="3" fontId="1" fillId="0" borderId="14" xfId="0" applyNumberFormat="1" applyFont="1" applyBorder="1" applyAlignment="1">
      <alignment wrapText="1"/>
    </xf>
    <xf numFmtId="3" fontId="1" fillId="0" borderId="14" xfId="0" applyNumberFormat="1" applyFont="1" applyBorder="1" applyAlignment="1">
      <alignment/>
    </xf>
    <xf numFmtId="3" fontId="4" fillId="0" borderId="17" xfId="0" applyNumberFormat="1" applyFont="1" applyBorder="1" applyAlignment="1">
      <alignment horizontal="center" wrapText="1"/>
    </xf>
    <xf numFmtId="1" fontId="3" fillId="2" borderId="16" xfId="0" applyNumberFormat="1" applyFont="1" applyFill="1" applyBorder="1" applyAlignment="1">
      <alignment vertical="top"/>
    </xf>
    <xf numFmtId="3" fontId="3" fillId="2" borderId="16" xfId="0" applyNumberFormat="1" applyFont="1" applyFill="1" applyBorder="1" applyAlignment="1">
      <alignment wrapText="1"/>
    </xf>
    <xf numFmtId="1" fontId="3" fillId="0" borderId="14" xfId="0" applyNumberFormat="1" applyFont="1" applyBorder="1" applyAlignment="1">
      <alignment vertical="top"/>
    </xf>
    <xf numFmtId="3" fontId="3" fillId="0" borderId="14" xfId="0" applyNumberFormat="1" applyFont="1" applyBorder="1" applyAlignment="1">
      <alignment wrapText="1"/>
    </xf>
    <xf numFmtId="1" fontId="3" fillId="2" borderId="14" xfId="0" applyNumberFormat="1" applyFont="1" applyFill="1" applyBorder="1" applyAlignment="1">
      <alignment/>
    </xf>
    <xf numFmtId="1" fontId="3" fillId="2" borderId="14" xfId="0" applyNumberFormat="1" applyFont="1" applyFill="1" applyBorder="1" applyAlignment="1">
      <alignment/>
    </xf>
    <xf numFmtId="3" fontId="3" fillId="2" borderId="14" xfId="0" applyNumberFormat="1" applyFont="1" applyFill="1" applyBorder="1" applyAlignment="1">
      <alignment wrapText="1"/>
    </xf>
    <xf numFmtId="1" fontId="3" fillId="0" borderId="16" xfId="0" applyNumberFormat="1" applyFont="1" applyBorder="1" applyAlignment="1">
      <alignment/>
    </xf>
    <xf numFmtId="1" fontId="3" fillId="0" borderId="14" xfId="0" applyNumberFormat="1" applyFont="1" applyBorder="1" applyAlignment="1">
      <alignment/>
    </xf>
    <xf numFmtId="3" fontId="1" fillId="0" borderId="19" xfId="0" applyNumberFormat="1" applyFont="1" applyBorder="1" applyAlignment="1">
      <alignment wrapText="1"/>
    </xf>
    <xf numFmtId="3" fontId="1" fillId="0" borderId="14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3" fontId="1" fillId="0" borderId="16" xfId="0" applyNumberFormat="1" applyFont="1" applyBorder="1" applyAlignment="1">
      <alignment horizontal="right" wrapText="1"/>
    </xf>
    <xf numFmtId="3" fontId="1" fillId="0" borderId="17" xfId="0" applyNumberFormat="1" applyFont="1" applyBorder="1" applyAlignment="1">
      <alignment/>
    </xf>
    <xf numFmtId="3" fontId="1" fillId="0" borderId="21" xfId="0" applyNumberFormat="1" applyFont="1" applyBorder="1" applyAlignment="1">
      <alignment wrapText="1"/>
    </xf>
    <xf numFmtId="3" fontId="1" fillId="0" borderId="21" xfId="0" applyNumberFormat="1" applyFont="1" applyBorder="1" applyAlignment="1">
      <alignment/>
    </xf>
    <xf numFmtId="3" fontId="1" fillId="2" borderId="16" xfId="0" applyNumberFormat="1" applyFont="1" applyFill="1" applyBorder="1" applyAlignment="1">
      <alignment horizontal="center"/>
    </xf>
    <xf numFmtId="3" fontId="3" fillId="0" borderId="14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3" fontId="6" fillId="0" borderId="13" xfId="0" applyNumberFormat="1" applyFont="1" applyBorder="1" applyAlignment="1">
      <alignment wrapText="1"/>
    </xf>
    <xf numFmtId="3" fontId="6" fillId="0" borderId="13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4" fillId="0" borderId="14" xfId="0" applyNumberFormat="1" applyFont="1" applyBorder="1" applyAlignment="1">
      <alignment horizontal="center" wrapText="1"/>
    </xf>
    <xf numFmtId="3" fontId="4" fillId="0" borderId="18" xfId="0" applyNumberFormat="1" applyFont="1" applyBorder="1" applyAlignment="1">
      <alignment horizontal="center" wrapText="1"/>
    </xf>
    <xf numFmtId="3" fontId="1" fillId="0" borderId="20" xfId="0" applyNumberFormat="1" applyFont="1" applyBorder="1" applyAlignment="1">
      <alignment wrapText="1"/>
    </xf>
    <xf numFmtId="3" fontId="4" fillId="0" borderId="19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4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right" wrapText="1"/>
    </xf>
    <xf numFmtId="3" fontId="3" fillId="0" borderId="16" xfId="0" applyNumberFormat="1" applyFont="1" applyBorder="1" applyAlignment="1">
      <alignment/>
    </xf>
    <xf numFmtId="3" fontId="3" fillId="2" borderId="16" xfId="0" applyNumberFormat="1" applyFont="1" applyFill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13" xfId="0" applyNumberFormat="1" applyFont="1" applyBorder="1" applyAlignment="1">
      <alignment wrapText="1"/>
    </xf>
    <xf numFmtId="0" fontId="4" fillId="0" borderId="16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wrapText="1"/>
    </xf>
    <xf numFmtId="1" fontId="3" fillId="2" borderId="16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3" fontId="1" fillId="0" borderId="19" xfId="0" applyNumberFormat="1" applyFont="1" applyBorder="1" applyAlignment="1">
      <alignment/>
    </xf>
    <xf numFmtId="3" fontId="1" fillId="0" borderId="14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3" fontId="1" fillId="0" borderId="27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1" fontId="3" fillId="0" borderId="16" xfId="0" applyNumberFormat="1" applyFont="1" applyBorder="1" applyAlignment="1">
      <alignment/>
    </xf>
    <xf numFmtId="3" fontId="3" fillId="0" borderId="16" xfId="0" applyNumberFormat="1" applyFont="1" applyBorder="1" applyAlignment="1">
      <alignment wrapText="1"/>
    </xf>
    <xf numFmtId="3" fontId="1" fillId="0" borderId="13" xfId="0" applyNumberFormat="1" applyFont="1" applyBorder="1" applyAlignment="1">
      <alignment wrapText="1"/>
    </xf>
    <xf numFmtId="3" fontId="1" fillId="0" borderId="13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3" fillId="2" borderId="30" xfId="0" applyNumberFormat="1" applyFont="1" applyFill="1" applyBorder="1" applyAlignment="1">
      <alignment/>
    </xf>
    <xf numFmtId="3" fontId="3" fillId="0" borderId="31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3" xfId="0" applyNumberFormat="1" applyFont="1" applyBorder="1" applyAlignment="1">
      <alignment horizontal="right" wrapText="1"/>
    </xf>
    <xf numFmtId="3" fontId="1" fillId="0" borderId="32" xfId="0" applyNumberFormat="1" applyFont="1" applyBorder="1" applyAlignment="1">
      <alignment horizontal="right" wrapText="1"/>
    </xf>
    <xf numFmtId="3" fontId="1" fillId="0" borderId="33" xfId="0" applyNumberFormat="1" applyFont="1" applyBorder="1" applyAlignment="1">
      <alignment/>
    </xf>
    <xf numFmtId="3" fontId="3" fillId="2" borderId="31" xfId="0" applyNumberFormat="1" applyFont="1" applyFill="1" applyBorder="1" applyAlignment="1">
      <alignment/>
    </xf>
    <xf numFmtId="3" fontId="1" fillId="0" borderId="34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1" xfId="0" applyNumberFormat="1" applyFont="1" applyBorder="1" applyAlignment="1">
      <alignment horizontal="right" wrapText="1"/>
    </xf>
    <xf numFmtId="3" fontId="1" fillId="0" borderId="35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1" fontId="3" fillId="2" borderId="31" xfId="0" applyNumberFormat="1" applyFont="1" applyFill="1" applyBorder="1" applyAlignment="1">
      <alignment/>
    </xf>
    <xf numFmtId="3" fontId="3" fillId="0" borderId="31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3" fontId="3" fillId="2" borderId="36" xfId="0" applyNumberFormat="1" applyFont="1" applyFill="1" applyBorder="1" applyAlignment="1">
      <alignment/>
    </xf>
    <xf numFmtId="3" fontId="3" fillId="0" borderId="37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3" fillId="2" borderId="37" xfId="0" applyNumberFormat="1" applyFont="1" applyFill="1" applyBorder="1" applyAlignment="1">
      <alignment/>
    </xf>
    <xf numFmtId="3" fontId="1" fillId="0" borderId="36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3" fillId="0" borderId="44" xfId="0" applyNumberFormat="1" applyFont="1" applyBorder="1" applyAlignment="1">
      <alignment/>
    </xf>
    <xf numFmtId="3" fontId="3" fillId="2" borderId="45" xfId="0" applyNumberFormat="1" applyFont="1" applyFill="1" applyBorder="1" applyAlignment="1">
      <alignment/>
    </xf>
    <xf numFmtId="3" fontId="3" fillId="0" borderId="46" xfId="0" applyNumberFormat="1" applyFont="1" applyBorder="1" applyAlignment="1">
      <alignment/>
    </xf>
    <xf numFmtId="3" fontId="1" fillId="0" borderId="47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3" fontId="1" fillId="0" borderId="49" xfId="0" applyNumberFormat="1" applyFont="1" applyBorder="1" applyAlignment="1">
      <alignment/>
    </xf>
    <xf numFmtId="3" fontId="3" fillId="2" borderId="46" xfId="0" applyNumberFormat="1" applyFont="1" applyFill="1" applyBorder="1" applyAlignment="1">
      <alignment/>
    </xf>
    <xf numFmtId="3" fontId="1" fillId="0" borderId="50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3" fontId="3" fillId="0" borderId="45" xfId="0" applyNumberFormat="1" applyFont="1" applyBorder="1" applyAlignment="1">
      <alignment/>
    </xf>
    <xf numFmtId="3" fontId="1" fillId="0" borderId="46" xfId="0" applyNumberFormat="1" applyFont="1" applyBorder="1" applyAlignment="1">
      <alignment/>
    </xf>
    <xf numFmtId="3" fontId="3" fillId="2" borderId="45" xfId="0" applyNumberFormat="1" applyFont="1" applyFill="1" applyBorder="1" applyAlignment="1">
      <alignment/>
    </xf>
    <xf numFmtId="3" fontId="1" fillId="0" borderId="49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3" fontId="6" fillId="0" borderId="43" xfId="0" applyNumberFormat="1" applyFont="1" applyBorder="1" applyAlignment="1">
      <alignment/>
    </xf>
    <xf numFmtId="3" fontId="3" fillId="0" borderId="46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4" fillId="0" borderId="13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3" fontId="1" fillId="0" borderId="19" xfId="0" applyNumberFormat="1" applyFont="1" applyBorder="1" applyAlignment="1">
      <alignment horizontal="right"/>
    </xf>
    <xf numFmtId="3" fontId="1" fillId="0" borderId="33" xfId="0" applyNumberFormat="1" applyFont="1" applyBorder="1" applyAlignment="1">
      <alignment horizontal="right"/>
    </xf>
    <xf numFmtId="3" fontId="1" fillId="0" borderId="52" xfId="0" applyNumberFormat="1" applyFont="1" applyBorder="1" applyAlignment="1">
      <alignment/>
    </xf>
    <xf numFmtId="3" fontId="1" fillId="0" borderId="18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1" fillId="0" borderId="21" xfId="0" applyNumberFormat="1" applyFont="1" applyBorder="1" applyAlignment="1">
      <alignment horizontal="right" wrapText="1"/>
    </xf>
    <xf numFmtId="3" fontId="1" fillId="0" borderId="53" xfId="0" applyNumberFormat="1" applyFont="1" applyBorder="1" applyAlignment="1">
      <alignment horizontal="right" wrapText="1"/>
    </xf>
    <xf numFmtId="49" fontId="1" fillId="0" borderId="16" xfId="0" applyNumberFormat="1" applyFont="1" applyBorder="1" applyAlignment="1">
      <alignment horizontal="center" wrapText="1"/>
    </xf>
    <xf numFmtId="1" fontId="1" fillId="0" borderId="17" xfId="0" applyNumberFormat="1" applyFont="1" applyBorder="1" applyAlignment="1">
      <alignment horizontal="center"/>
    </xf>
    <xf numFmtId="3" fontId="5" fillId="0" borderId="54" xfId="0" applyNumberFormat="1" applyFont="1" applyBorder="1" applyAlignment="1">
      <alignment horizontal="center" vertical="center" wrapText="1"/>
    </xf>
    <xf numFmtId="49" fontId="3" fillId="0" borderId="54" xfId="0" applyNumberFormat="1" applyFont="1" applyBorder="1" applyAlignment="1">
      <alignment horizontal="center" wrapText="1"/>
    </xf>
    <xf numFmtId="3" fontId="3" fillId="0" borderId="54" xfId="0" applyNumberFormat="1" applyFont="1" applyBorder="1" applyAlignment="1">
      <alignment/>
    </xf>
    <xf numFmtId="3" fontId="3" fillId="0" borderId="55" xfId="0" applyNumberFormat="1" applyFont="1" applyBorder="1" applyAlignment="1">
      <alignment/>
    </xf>
    <xf numFmtId="3" fontId="3" fillId="0" borderId="56" xfId="0" applyNumberFormat="1" applyFont="1" applyBorder="1" applyAlignment="1">
      <alignment/>
    </xf>
    <xf numFmtId="3" fontId="5" fillId="0" borderId="16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wrapText="1"/>
    </xf>
    <xf numFmtId="1" fontId="1" fillId="0" borderId="16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 wrapText="1"/>
    </xf>
    <xf numFmtId="1" fontId="1" fillId="0" borderId="20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right" wrapText="1"/>
    </xf>
    <xf numFmtId="3" fontId="1" fillId="0" borderId="28" xfId="0" applyNumberFormat="1" applyFont="1" applyBorder="1" applyAlignment="1">
      <alignment horizontal="right" wrapText="1"/>
    </xf>
    <xf numFmtId="0" fontId="1" fillId="0" borderId="16" xfId="0" applyFont="1" applyBorder="1" applyAlignment="1">
      <alignment horizontal="left" wrapText="1"/>
    </xf>
    <xf numFmtId="0" fontId="3" fillId="0" borderId="54" xfId="0" applyFont="1" applyBorder="1" applyAlignment="1">
      <alignment wrapText="1"/>
    </xf>
    <xf numFmtId="3" fontId="1" fillId="0" borderId="57" xfId="0" applyNumberFormat="1" applyFont="1" applyBorder="1" applyAlignment="1">
      <alignment/>
    </xf>
    <xf numFmtId="1" fontId="3" fillId="0" borderId="14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" fontId="4" fillId="0" borderId="12" xfId="0" applyNumberFormat="1" applyFont="1" applyBorder="1" applyAlignment="1">
      <alignment horizontal="center" wrapText="1"/>
    </xf>
    <xf numFmtId="3" fontId="3" fillId="0" borderId="15" xfId="0" applyNumberFormat="1" applyFont="1" applyBorder="1" applyAlignment="1">
      <alignment wrapText="1"/>
    </xf>
    <xf numFmtId="3" fontId="5" fillId="0" borderId="16" xfId="0" applyNumberFormat="1" applyFont="1" applyBorder="1" applyAlignment="1">
      <alignment wrapText="1"/>
    </xf>
    <xf numFmtId="3" fontId="5" fillId="2" borderId="16" xfId="0" applyNumberFormat="1" applyFont="1" applyFill="1" applyBorder="1" applyAlignment="1">
      <alignment wrapText="1"/>
    </xf>
    <xf numFmtId="3" fontId="5" fillId="0" borderId="14" xfId="0" applyNumberFormat="1" applyFont="1" applyBorder="1" applyAlignment="1">
      <alignment wrapText="1"/>
    </xf>
    <xf numFmtId="3" fontId="5" fillId="2" borderId="14" xfId="0" applyNumberFormat="1" applyFont="1" applyFill="1" applyBorder="1" applyAlignment="1">
      <alignment wrapText="1"/>
    </xf>
    <xf numFmtId="3" fontId="0" fillId="0" borderId="16" xfId="0" applyNumberFormat="1" applyFont="1" applyBorder="1" applyAlignment="1">
      <alignment horizontal="center" wrapText="1"/>
    </xf>
    <xf numFmtId="3" fontId="4" fillId="2" borderId="16" xfId="0" applyNumberFormat="1" applyFont="1" applyFill="1" applyBorder="1" applyAlignment="1">
      <alignment horizontal="center" wrapText="1"/>
    </xf>
    <xf numFmtId="3" fontId="5" fillId="0" borderId="15" xfId="0" applyNumberFormat="1" applyFont="1" applyBorder="1" applyAlignment="1">
      <alignment wrapText="1"/>
    </xf>
    <xf numFmtId="3" fontId="4" fillId="0" borderId="13" xfId="0" applyNumberFormat="1" applyFont="1" applyBorder="1" applyAlignment="1">
      <alignment wrapText="1"/>
    </xf>
    <xf numFmtId="3" fontId="7" fillId="0" borderId="13" xfId="0" applyNumberFormat="1" applyFont="1" applyBorder="1" applyAlignment="1">
      <alignment wrapText="1"/>
    </xf>
    <xf numFmtId="1" fontId="3" fillId="2" borderId="16" xfId="0" applyNumberFormat="1" applyFont="1" applyFill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2" borderId="37" xfId="0" applyNumberFormat="1" applyFont="1" applyFill="1" applyBorder="1" applyAlignment="1">
      <alignment/>
    </xf>
    <xf numFmtId="3" fontId="3" fillId="0" borderId="14" xfId="0" applyNumberFormat="1" applyFont="1" applyBorder="1" applyAlignment="1">
      <alignment wrapText="1"/>
    </xf>
    <xf numFmtId="3" fontId="3" fillId="0" borderId="25" xfId="0" applyNumberFormat="1" applyFont="1" applyBorder="1" applyAlignment="1">
      <alignment/>
    </xf>
    <xf numFmtId="3" fontId="5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wrapText="1"/>
    </xf>
    <xf numFmtId="3" fontId="3" fillId="0" borderId="13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43" xfId="0" applyNumberFormat="1" applyFont="1" applyBorder="1" applyAlignment="1">
      <alignment/>
    </xf>
    <xf numFmtId="3" fontId="3" fillId="2" borderId="25" xfId="0" applyNumberFormat="1" applyFont="1" applyFill="1" applyBorder="1" applyAlignment="1">
      <alignment/>
    </xf>
    <xf numFmtId="3" fontId="5" fillId="2" borderId="13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wrapText="1"/>
    </xf>
    <xf numFmtId="3" fontId="3" fillId="2" borderId="13" xfId="0" applyNumberFormat="1" applyFont="1" applyFill="1" applyBorder="1" applyAlignment="1">
      <alignment/>
    </xf>
    <xf numFmtId="3" fontId="3" fillId="2" borderId="28" xfId="0" applyNumberFormat="1" applyFont="1" applyFill="1" applyBorder="1" applyAlignment="1">
      <alignment/>
    </xf>
    <xf numFmtId="3" fontId="3" fillId="2" borderId="43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2" borderId="14" xfId="0" applyNumberFormat="1" applyFont="1" applyFill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2" borderId="16" xfId="0" applyNumberFormat="1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1" fontId="3" fillId="2" borderId="16" xfId="0" applyNumberFormat="1" applyFont="1" applyFill="1" applyBorder="1" applyAlignment="1">
      <alignment horizontal="center"/>
    </xf>
    <xf numFmtId="10" fontId="3" fillId="0" borderId="0" xfId="46" applyNumberFormat="1" applyFont="1" applyAlignment="1">
      <alignment/>
    </xf>
    <xf numFmtId="1" fontId="2" fillId="0" borderId="13" xfId="0" applyNumberFormat="1" applyFont="1" applyBorder="1" applyAlignment="1">
      <alignment/>
    </xf>
    <xf numFmtId="3" fontId="2" fillId="0" borderId="58" xfId="0" applyNumberFormat="1" applyFont="1" applyBorder="1" applyAlignment="1">
      <alignment horizontal="right"/>
    </xf>
    <xf numFmtId="3" fontId="2" fillId="0" borderId="59" xfId="0" applyNumberFormat="1" applyFont="1" applyBorder="1" applyAlignment="1">
      <alignment/>
    </xf>
    <xf numFmtId="3" fontId="2" fillId="0" borderId="58" xfId="0" applyNumberFormat="1" applyFont="1" applyBorder="1" applyAlignment="1">
      <alignment wrapText="1"/>
    </xf>
    <xf numFmtId="3" fontId="2" fillId="0" borderId="59" xfId="0" applyNumberFormat="1" applyFont="1" applyBorder="1" applyAlignment="1">
      <alignment horizontal="center"/>
    </xf>
    <xf numFmtId="3" fontId="2" fillId="0" borderId="5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1" fontId="4" fillId="0" borderId="61" xfId="0" applyNumberFormat="1" applyFont="1" applyBorder="1" applyAlignment="1">
      <alignment horizontal="center"/>
    </xf>
    <xf numFmtId="1" fontId="4" fillId="0" borderId="61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/>
    </xf>
    <xf numFmtId="3" fontId="1" fillId="0" borderId="35" xfId="0" applyNumberFormat="1" applyFont="1" applyBorder="1" applyAlignment="1">
      <alignment/>
    </xf>
    <xf numFmtId="3" fontId="1" fillId="0" borderId="18" xfId="0" applyNumberFormat="1" applyFont="1" applyBorder="1" applyAlignment="1">
      <alignment horizontal="right"/>
    </xf>
    <xf numFmtId="3" fontId="3" fillId="0" borderId="54" xfId="0" applyNumberFormat="1" applyFont="1" applyBorder="1" applyAlignment="1">
      <alignment/>
    </xf>
    <xf numFmtId="0" fontId="1" fillId="0" borderId="18" xfId="0" applyFont="1" applyBorder="1" applyAlignment="1">
      <alignment horizontal="left" wrapText="1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/>
    </xf>
    <xf numFmtId="1" fontId="4" fillId="0" borderId="62" xfId="0" applyNumberFormat="1" applyFont="1" applyBorder="1" applyAlignment="1">
      <alignment horizontal="center"/>
    </xf>
    <xf numFmtId="1" fontId="4" fillId="0" borderId="63" xfId="0" applyNumberFormat="1" applyFont="1" applyBorder="1" applyAlignment="1">
      <alignment horizontal="center"/>
    </xf>
    <xf numFmtId="1" fontId="4" fillId="0" borderId="64" xfId="0" applyNumberFormat="1" applyFont="1" applyBorder="1" applyAlignment="1">
      <alignment horizontal="center"/>
    </xf>
    <xf numFmtId="3" fontId="3" fillId="2" borderId="65" xfId="0" applyNumberFormat="1" applyFont="1" applyFill="1" applyBorder="1" applyAlignment="1">
      <alignment/>
    </xf>
    <xf numFmtId="1" fontId="1" fillId="0" borderId="1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/>
    </xf>
    <xf numFmtId="0" fontId="4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3" fontId="1" fillId="0" borderId="8" xfId="0" applyNumberFormat="1" applyFont="1" applyBorder="1" applyAlignment="1">
      <alignment horizontal="right" wrapText="1"/>
    </xf>
    <xf numFmtId="3" fontId="1" fillId="0" borderId="66" xfId="0" applyNumberFormat="1" applyFont="1" applyBorder="1" applyAlignment="1">
      <alignment/>
    </xf>
    <xf numFmtId="3" fontId="1" fillId="0" borderId="67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41" xfId="0" applyNumberFormat="1" applyFont="1" applyBorder="1" applyAlignment="1">
      <alignment horizontal="right" wrapText="1"/>
    </xf>
    <xf numFmtId="3" fontId="1" fillId="0" borderId="68" xfId="0" applyNumberFormat="1" applyFont="1" applyBorder="1" applyAlignment="1">
      <alignment/>
    </xf>
    <xf numFmtId="3" fontId="1" fillId="0" borderId="21" xfId="0" applyNumberFormat="1" applyFont="1" applyBorder="1" applyAlignment="1">
      <alignment wrapText="1"/>
    </xf>
    <xf numFmtId="3" fontId="1" fillId="0" borderId="21" xfId="0" applyNumberFormat="1" applyFont="1" applyBorder="1" applyAlignment="1">
      <alignment horizontal="right"/>
    </xf>
    <xf numFmtId="3" fontId="1" fillId="0" borderId="53" xfId="0" applyNumberFormat="1" applyFont="1" applyBorder="1" applyAlignment="1">
      <alignment/>
    </xf>
    <xf numFmtId="3" fontId="1" fillId="0" borderId="20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/>
    </xf>
    <xf numFmtId="3" fontId="3" fillId="0" borderId="69" xfId="0" applyNumberFormat="1" applyFont="1" applyBorder="1" applyAlignment="1">
      <alignment/>
    </xf>
    <xf numFmtId="3" fontId="1" fillId="0" borderId="8" xfId="0" applyNumberFormat="1" applyFont="1" applyBorder="1" applyAlignment="1">
      <alignment wrapText="1"/>
    </xf>
    <xf numFmtId="3" fontId="1" fillId="0" borderId="66" xfId="0" applyNumberFormat="1" applyFont="1" applyBorder="1" applyAlignment="1">
      <alignment horizontal="right" wrapText="1"/>
    </xf>
    <xf numFmtId="3" fontId="4" fillId="0" borderId="8" xfId="0" applyNumberFormat="1" applyFont="1" applyBorder="1" applyAlignment="1">
      <alignment horizontal="center" wrapText="1"/>
    </xf>
    <xf numFmtId="1" fontId="1" fillId="0" borderId="8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wrapText="1"/>
    </xf>
    <xf numFmtId="3" fontId="1" fillId="0" borderId="20" xfId="0" applyNumberFormat="1" applyFont="1" applyBorder="1" applyAlignment="1">
      <alignment/>
    </xf>
    <xf numFmtId="3" fontId="3" fillId="0" borderId="35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3" fillId="0" borderId="42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9" fillId="0" borderId="20" xfId="38" applyFont="1" applyBorder="1" applyAlignment="1">
      <alignment horizontal="center" wrapText="1"/>
      <protection/>
    </xf>
    <xf numFmtId="0" fontId="1" fillId="0" borderId="20" xfId="0" applyFont="1" applyBorder="1" applyAlignment="1">
      <alignment horizontal="center" wrapText="1"/>
    </xf>
    <xf numFmtId="3" fontId="1" fillId="0" borderId="20" xfId="0" applyNumberFormat="1" applyFont="1" applyBorder="1" applyAlignment="1">
      <alignment horizontal="right" wrapText="1"/>
    </xf>
    <xf numFmtId="3" fontId="1" fillId="0" borderId="35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1" fontId="1" fillId="0" borderId="14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/>
    </xf>
    <xf numFmtId="3" fontId="6" fillId="0" borderId="16" xfId="0" applyNumberFormat="1" applyFont="1" applyBorder="1" applyAlignment="1">
      <alignment wrapText="1"/>
    </xf>
    <xf numFmtId="3" fontId="7" fillId="0" borderId="16" xfId="0" applyNumberFormat="1" applyFont="1" applyBorder="1" applyAlignment="1">
      <alignment wrapText="1"/>
    </xf>
    <xf numFmtId="3" fontId="6" fillId="0" borderId="16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3" fontId="6" fillId="0" borderId="46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0" fillId="0" borderId="0" xfId="0" applyFont="1" applyAlignment="1">
      <alignment/>
    </xf>
    <xf numFmtId="1" fontId="11" fillId="0" borderId="0" xfId="0" applyNumberFormat="1" applyFont="1" applyAlignment="1">
      <alignment/>
    </xf>
    <xf numFmtId="0" fontId="4" fillId="0" borderId="20" xfId="0" applyFont="1" applyBorder="1" applyAlignment="1">
      <alignment horizontal="center" wrapText="1"/>
    </xf>
    <xf numFmtId="3" fontId="5" fillId="0" borderId="14" xfId="0" applyNumberFormat="1" applyFont="1" applyBorder="1" applyAlignment="1">
      <alignment horizontal="center" wrapText="1"/>
    </xf>
    <xf numFmtId="1" fontId="3" fillId="0" borderId="14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right" wrapText="1"/>
    </xf>
    <xf numFmtId="3" fontId="1" fillId="0" borderId="17" xfId="0" applyNumberFormat="1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3" fontId="1" fillId="0" borderId="17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0" fontId="8" fillId="3" borderId="0" xfId="0" applyFont="1" applyFill="1" applyBorder="1" applyAlignment="1">
      <alignment horizontal="center"/>
    </xf>
  </cellXfs>
  <cellStyles count="51">
    <cellStyle name="Normal" xfId="0"/>
    <cellStyle name="Comma" xfId="15"/>
    <cellStyle name="Comma [0]" xfId="16"/>
    <cellStyle name="Dziesiętny [0]_INW-99" xfId="17"/>
    <cellStyle name="Dziesiętny [0]_PL2001" xfId="18"/>
    <cellStyle name="Dziesiętny [0]_pl2003" xfId="19"/>
    <cellStyle name="Dziesiętny [0]_plan 2000- zad. nie ujęte " xfId="20"/>
    <cellStyle name="Dziesiętny [0]_potrzeb jednostek " xfId="21"/>
    <cellStyle name="Dziesiętny [0]_Powiatowy i Gminny FOŚiGW" xfId="22"/>
    <cellStyle name="Dziesiętny [0]_REMON99" xfId="23"/>
    <cellStyle name="Dziesiętny [0]_remonty-2001" xfId="24"/>
    <cellStyle name="Dziesiętny_INW-99" xfId="25"/>
    <cellStyle name="Dziesiętny_PL2001" xfId="26"/>
    <cellStyle name="Dziesiętny_pl2003" xfId="27"/>
    <cellStyle name="Dziesiętny_plan 2000- zad. nie ujęte " xfId="28"/>
    <cellStyle name="Dziesiętny_potrzeb jednostek " xfId="29"/>
    <cellStyle name="Dziesiętny_Powiatowy i Gminny FOŚiGW" xfId="30"/>
    <cellStyle name="Dziesiętny_REMON99" xfId="31"/>
    <cellStyle name="Dziesiętny_remonty-2001" xfId="32"/>
    <cellStyle name="Normalny_INW-99" xfId="33"/>
    <cellStyle name="Normalny_INW-99 harm- 16.12.99  (2)" xfId="34"/>
    <cellStyle name="Normalny_plan 2000- zad. nie ujęte " xfId="35"/>
    <cellStyle name="Normalny_plan97-2 (3)" xfId="36"/>
    <cellStyle name="Normalny_plan97-2 (4)" xfId="37"/>
    <cellStyle name="Normalny_plan98" xfId="38"/>
    <cellStyle name="Normalny_potrzeb jednostek " xfId="39"/>
    <cellStyle name="Normalny_Powiatowy i Gminny FOŚiGW" xfId="40"/>
    <cellStyle name="Normalny_REMON99" xfId="41"/>
    <cellStyle name="Normalny_remonty-2001" xfId="42"/>
    <cellStyle name="Normalny_remonty-2001_pl2002" xfId="43"/>
    <cellStyle name="Normalny_remonty-2001_PL-2002" xfId="44"/>
    <cellStyle name="Normalny_remonty-2001_pl2003" xfId="45"/>
    <cellStyle name="Percent" xfId="46"/>
    <cellStyle name="Currency" xfId="47"/>
    <cellStyle name="Currency [0]" xfId="48"/>
    <cellStyle name="Walutowy [0]_INW-99" xfId="49"/>
    <cellStyle name="Walutowy [0]_PL2001" xfId="50"/>
    <cellStyle name="Walutowy [0]_pl2003" xfId="51"/>
    <cellStyle name="Walutowy [0]_plan 2000- zad. nie ujęte " xfId="52"/>
    <cellStyle name="Walutowy [0]_potrzeb jednostek " xfId="53"/>
    <cellStyle name="Walutowy [0]_Powiatowy i Gminny FOŚiGW" xfId="54"/>
    <cellStyle name="Walutowy [0]_REMON99" xfId="55"/>
    <cellStyle name="Walutowy [0]_remonty-2001" xfId="56"/>
    <cellStyle name="Walutowy_INW-99" xfId="57"/>
    <cellStyle name="Walutowy_PL2001" xfId="58"/>
    <cellStyle name="Walutowy_pl2003" xfId="59"/>
    <cellStyle name="Walutowy_plan 2000- zad. nie ujęte " xfId="60"/>
    <cellStyle name="Walutowy_potrzeb jednostek " xfId="61"/>
    <cellStyle name="Walutowy_Powiatowy i Gminny FOŚiGW" xfId="62"/>
    <cellStyle name="Walutowy_REMON99" xfId="63"/>
    <cellStyle name="Walutowy_remonty-2001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1"/>
  <sheetViews>
    <sheetView tabSelected="1" zoomScale="75" zoomScaleNormal="75" zoomScaleSheetLayoutView="75" workbookViewId="0" topLeftCell="A1">
      <selection activeCell="J131" sqref="J131:J133"/>
    </sheetView>
  </sheetViews>
  <sheetFormatPr defaultColWidth="9.00390625" defaultRowHeight="12.75"/>
  <cols>
    <col min="1" max="1" width="6.75390625" style="1" customWidth="1"/>
    <col min="2" max="2" width="8.75390625" style="1" customWidth="1"/>
    <col min="3" max="3" width="44.375" style="0" customWidth="1"/>
    <col min="4" max="4" width="43.125" style="212" customWidth="1"/>
    <col min="5" max="5" width="13.125" style="229" customWidth="1"/>
    <col min="6" max="6" width="13.125" style="0" customWidth="1"/>
    <col min="7" max="8" width="14.625" style="0" customWidth="1"/>
    <col min="9" max="9" width="15.00390625" style="0" customWidth="1"/>
    <col min="10" max="10" width="16.625" style="0" customWidth="1"/>
    <col min="11" max="11" width="17.00390625" style="0" customWidth="1"/>
    <col min="12" max="12" width="10.375" style="0" bestFit="1" customWidth="1"/>
  </cols>
  <sheetData>
    <row r="1" ht="17.25" customHeight="1">
      <c r="J1" s="108" t="s">
        <v>124</v>
      </c>
    </row>
    <row r="2" spans="1:15" s="3" customFormat="1" ht="18" customHeight="1">
      <c r="A2" s="2"/>
      <c r="B2" s="326" t="s">
        <v>100</v>
      </c>
      <c r="C2" s="325"/>
      <c r="D2" s="213"/>
      <c r="E2" s="230"/>
      <c r="J2" s="108" t="s">
        <v>167</v>
      </c>
      <c r="L2"/>
      <c r="M2"/>
      <c r="N2"/>
      <c r="O2"/>
    </row>
    <row r="3" ht="17.25" customHeight="1">
      <c r="J3" s="108" t="s">
        <v>125</v>
      </c>
    </row>
    <row r="4" ht="17.25" customHeight="1">
      <c r="J4" s="108" t="s">
        <v>126</v>
      </c>
    </row>
    <row r="5" ht="10.5" customHeight="1">
      <c r="I5" s="108"/>
    </row>
    <row r="6" spans="10:11" ht="13.5" thickBot="1">
      <c r="J6" s="4"/>
      <c r="K6" s="4" t="s">
        <v>0</v>
      </c>
    </row>
    <row r="7" spans="1:15" s="11" customFormat="1" ht="19.5" customHeight="1" thickTop="1">
      <c r="A7" s="5"/>
      <c r="B7" s="5"/>
      <c r="C7" s="6"/>
      <c r="D7" s="214"/>
      <c r="E7" s="7"/>
      <c r="F7" s="6"/>
      <c r="G7" s="7" t="s">
        <v>1</v>
      </c>
      <c r="H7" s="8" t="s">
        <v>2</v>
      </c>
      <c r="I7" s="9" t="s">
        <v>3</v>
      </c>
      <c r="J7" s="9"/>
      <c r="K7" s="10"/>
      <c r="L7"/>
      <c r="M7"/>
      <c r="N7"/>
      <c r="O7"/>
    </row>
    <row r="8" spans="1:11" ht="19.5" customHeight="1">
      <c r="A8" s="12" t="s">
        <v>4</v>
      </c>
      <c r="B8" s="12" t="s">
        <v>5</v>
      </c>
      <c r="C8" s="13" t="s">
        <v>6</v>
      </c>
      <c r="D8" s="15" t="s">
        <v>7</v>
      </c>
      <c r="E8" s="14" t="s">
        <v>8</v>
      </c>
      <c r="F8" s="15" t="s">
        <v>123</v>
      </c>
      <c r="G8" s="14" t="s">
        <v>9</v>
      </c>
      <c r="H8" s="16" t="s">
        <v>10</v>
      </c>
      <c r="I8" s="17" t="s">
        <v>11</v>
      </c>
      <c r="J8" s="18" t="s">
        <v>127</v>
      </c>
      <c r="K8" s="19" t="s">
        <v>12</v>
      </c>
    </row>
    <row r="9" spans="1:11" ht="21.75" customHeight="1">
      <c r="A9" s="20"/>
      <c r="B9" s="20"/>
      <c r="C9" s="270" t="s">
        <v>128</v>
      </c>
      <c r="D9" s="271" t="s">
        <v>98</v>
      </c>
      <c r="E9" s="272" t="s">
        <v>13</v>
      </c>
      <c r="F9" s="272" t="s">
        <v>14</v>
      </c>
      <c r="G9" s="272" t="s">
        <v>15</v>
      </c>
      <c r="H9" s="273" t="s">
        <v>98</v>
      </c>
      <c r="I9" s="111" t="s">
        <v>16</v>
      </c>
      <c r="J9" s="112" t="s">
        <v>90</v>
      </c>
      <c r="K9" s="113" t="s">
        <v>17</v>
      </c>
    </row>
    <row r="10" spans="1:11" ht="19.5" customHeight="1" thickBot="1">
      <c r="A10" s="21"/>
      <c r="B10" s="21"/>
      <c r="C10" s="22"/>
      <c r="D10" s="215"/>
      <c r="E10" s="246"/>
      <c r="F10" s="23" t="s">
        <v>18</v>
      </c>
      <c r="G10" s="23" t="s">
        <v>19</v>
      </c>
      <c r="H10" s="24"/>
      <c r="I10" s="109" t="s">
        <v>65</v>
      </c>
      <c r="J10" s="110" t="s">
        <v>91</v>
      </c>
      <c r="K10" s="105" t="s">
        <v>20</v>
      </c>
    </row>
    <row r="11" spans="1:15" s="26" customFormat="1" ht="14.25" thickBot="1" thickTop="1">
      <c r="A11" s="25">
        <v>1</v>
      </c>
      <c r="B11" s="25">
        <v>2</v>
      </c>
      <c r="C11" s="25">
        <v>3</v>
      </c>
      <c r="D11" s="216">
        <v>4</v>
      </c>
      <c r="E11" s="25">
        <v>5</v>
      </c>
      <c r="F11" s="25">
        <v>6</v>
      </c>
      <c r="G11" s="25">
        <v>7</v>
      </c>
      <c r="H11" s="25">
        <v>8</v>
      </c>
      <c r="I11" s="25">
        <v>9</v>
      </c>
      <c r="J11" s="25">
        <v>10</v>
      </c>
      <c r="K11" s="25">
        <v>11</v>
      </c>
      <c r="L11"/>
      <c r="M11"/>
      <c r="N11"/>
      <c r="O11"/>
    </row>
    <row r="12" spans="1:15" s="26" customFormat="1" ht="6" customHeight="1" thickTop="1">
      <c r="A12" s="263"/>
      <c r="B12" s="263"/>
      <c r="C12" s="263"/>
      <c r="D12" s="264"/>
      <c r="E12" s="263"/>
      <c r="F12" s="263"/>
      <c r="G12" s="275"/>
      <c r="H12" s="277"/>
      <c r="I12" s="276"/>
      <c r="J12" s="263"/>
      <c r="K12" s="263"/>
      <c r="L12"/>
      <c r="M12"/>
      <c r="N12"/>
      <c r="O12"/>
    </row>
    <row r="13" spans="1:15" s="27" customFormat="1" ht="15.75" customHeight="1" thickBot="1">
      <c r="A13" s="256"/>
      <c r="B13" s="256"/>
      <c r="C13" s="257" t="s">
        <v>66</v>
      </c>
      <c r="D13" s="259" t="s">
        <v>97</v>
      </c>
      <c r="E13" s="260" t="s">
        <v>97</v>
      </c>
      <c r="F13" s="261"/>
      <c r="G13" s="258">
        <f>G15+G118+G111</f>
        <v>176152882</v>
      </c>
      <c r="H13" s="262">
        <f>I13+J13+K13</f>
        <v>83976000</v>
      </c>
      <c r="I13" s="258">
        <f>I15+I118+I111</f>
        <v>65703000</v>
      </c>
      <c r="J13" s="261">
        <f>J15+J118</f>
        <v>18257000</v>
      </c>
      <c r="K13" s="261">
        <f>K15+K118</f>
        <v>16000</v>
      </c>
      <c r="L13" s="255"/>
      <c r="M13"/>
      <c r="N13"/>
      <c r="O13"/>
    </row>
    <row r="14" spans="1:15" s="30" customFormat="1" ht="13.5" customHeight="1">
      <c r="A14" s="28"/>
      <c r="B14" s="28"/>
      <c r="C14" s="29" t="s">
        <v>3</v>
      </c>
      <c r="D14" s="103"/>
      <c r="E14" s="247"/>
      <c r="F14" s="29"/>
      <c r="G14" s="125"/>
      <c r="H14" s="163"/>
      <c r="I14" s="146"/>
      <c r="J14" s="29"/>
      <c r="K14" s="29"/>
      <c r="L14"/>
      <c r="M14"/>
      <c r="N14"/>
      <c r="O14"/>
    </row>
    <row r="15" spans="1:15" s="33" customFormat="1" ht="18.75" customHeight="1" thickBot="1">
      <c r="A15" s="31"/>
      <c r="B15" s="31"/>
      <c r="C15" s="32" t="s">
        <v>21</v>
      </c>
      <c r="D15" s="217"/>
      <c r="E15" s="248"/>
      <c r="F15" s="32"/>
      <c r="G15" s="295">
        <f>G16+G37+G44+G47+G51+G56+G72+G75+G80+G96+G104</f>
        <v>176152882</v>
      </c>
      <c r="H15" s="164">
        <f>I15+J15+K15</f>
        <v>83960000</v>
      </c>
      <c r="I15" s="147">
        <f>I16+I37+I44+I47+I51+I56+I72+I75+I80+I96+I104</f>
        <v>65703000</v>
      </c>
      <c r="J15" s="147">
        <f>J16+J37+J47+J51+J56+J72+J75+J80+J96+J104</f>
        <v>18257000</v>
      </c>
      <c r="K15" s="147"/>
      <c r="L15"/>
      <c r="M15"/>
      <c r="N15"/>
      <c r="O15"/>
    </row>
    <row r="16" spans="1:15" s="36" customFormat="1" ht="20.25" customHeight="1" thickTop="1">
      <c r="A16" s="34">
        <v>600</v>
      </c>
      <c r="B16" s="34"/>
      <c r="C16" s="35" t="s">
        <v>23</v>
      </c>
      <c r="D16" s="77"/>
      <c r="E16" s="249"/>
      <c r="F16" s="35"/>
      <c r="G16" s="127">
        <f>G17+G30</f>
        <v>80416895</v>
      </c>
      <c r="H16" s="165">
        <f>I16+J16+K16</f>
        <v>35279000</v>
      </c>
      <c r="I16" s="148">
        <f>I17+I30</f>
        <v>35279000</v>
      </c>
      <c r="J16" s="35"/>
      <c r="K16" s="35"/>
      <c r="L16"/>
      <c r="M16"/>
      <c r="N16"/>
      <c r="O16"/>
    </row>
    <row r="17" spans="1:15" s="33" customFormat="1" ht="28.5" customHeight="1">
      <c r="A17" s="44"/>
      <c r="B17" s="45">
        <v>60015</v>
      </c>
      <c r="C17" s="46" t="s">
        <v>24</v>
      </c>
      <c r="D17" s="218"/>
      <c r="E17" s="250"/>
      <c r="F17" s="39"/>
      <c r="G17" s="128">
        <f>SUM(G18:G29)</f>
        <v>76321371</v>
      </c>
      <c r="H17" s="166">
        <f>I17+J17+K17</f>
        <v>32579000</v>
      </c>
      <c r="I17" s="39">
        <f>SUM(I18:I29)</f>
        <v>32579000</v>
      </c>
      <c r="J17" s="39"/>
      <c r="K17" s="39"/>
      <c r="L17"/>
      <c r="M17"/>
      <c r="N17"/>
      <c r="O17"/>
    </row>
    <row r="18" spans="1:15" s="36" customFormat="1" ht="36.75" customHeight="1">
      <c r="A18" s="28"/>
      <c r="B18" s="47"/>
      <c r="C18" s="48" t="s">
        <v>62</v>
      </c>
      <c r="D18" s="62" t="s">
        <v>119</v>
      </c>
      <c r="E18" s="49" t="s">
        <v>104</v>
      </c>
      <c r="F18" s="50">
        <v>10500000</v>
      </c>
      <c r="G18" s="185">
        <f>2880049+3571000</f>
        <v>6451049</v>
      </c>
      <c r="H18" s="167">
        <f>+I18+J18+K18</f>
        <v>500000</v>
      </c>
      <c r="I18" s="150">
        <v>500000</v>
      </c>
      <c r="J18" s="51"/>
      <c r="K18" s="51"/>
      <c r="L18"/>
      <c r="M18"/>
      <c r="N18"/>
      <c r="O18"/>
    </row>
    <row r="19" spans="1:15" s="36" customFormat="1" ht="35.25" customHeight="1">
      <c r="A19" s="28"/>
      <c r="B19" s="28"/>
      <c r="C19" s="55" t="s">
        <v>69</v>
      </c>
      <c r="D19" s="62" t="s">
        <v>174</v>
      </c>
      <c r="E19" s="49" t="s">
        <v>76</v>
      </c>
      <c r="F19" s="50">
        <v>51000000</v>
      </c>
      <c r="G19" s="131">
        <f>1655197+3600000</f>
        <v>5255197</v>
      </c>
      <c r="H19" s="167">
        <f>+I19+J19+K19</f>
        <v>13500000</v>
      </c>
      <c r="I19" s="152">
        <v>13500000</v>
      </c>
      <c r="J19" s="55"/>
      <c r="K19" s="55"/>
      <c r="L19"/>
      <c r="M19"/>
      <c r="N19"/>
      <c r="O19"/>
    </row>
    <row r="20" spans="1:15" s="36" customFormat="1" ht="24.75" customHeight="1">
      <c r="A20" s="28"/>
      <c r="B20" s="28"/>
      <c r="C20" s="55" t="s">
        <v>56</v>
      </c>
      <c r="D20" s="62" t="s">
        <v>168</v>
      </c>
      <c r="E20" s="49" t="s">
        <v>129</v>
      </c>
      <c r="F20" s="61">
        <v>95000000</v>
      </c>
      <c r="G20" s="129">
        <f>12931635+2540000</f>
        <v>15471635</v>
      </c>
      <c r="H20" s="171">
        <f aca="true" t="shared" si="0" ref="H20:H28">I20+J20+K20</f>
        <v>1100000</v>
      </c>
      <c r="I20" s="152">
        <v>1100000</v>
      </c>
      <c r="J20" s="55"/>
      <c r="K20" s="55"/>
      <c r="L20"/>
      <c r="M20"/>
      <c r="N20"/>
      <c r="O20"/>
    </row>
    <row r="21" spans="1:15" s="36" customFormat="1" ht="36.75" customHeight="1">
      <c r="A21" s="28"/>
      <c r="B21" s="28"/>
      <c r="C21" s="52" t="s">
        <v>67</v>
      </c>
      <c r="D21" s="62" t="s">
        <v>185</v>
      </c>
      <c r="E21" s="49" t="s">
        <v>77</v>
      </c>
      <c r="F21" s="50">
        <v>48954863</v>
      </c>
      <c r="G21" s="131">
        <f>37298087+5250000</f>
        <v>42548087</v>
      </c>
      <c r="H21" s="171">
        <f t="shared" si="0"/>
        <v>1000000</v>
      </c>
      <c r="I21" s="152">
        <v>1000000</v>
      </c>
      <c r="J21" s="55"/>
      <c r="K21" s="55"/>
      <c r="L21"/>
      <c r="M21"/>
      <c r="N21"/>
      <c r="O21"/>
    </row>
    <row r="22" spans="1:15" s="36" customFormat="1" ht="28.5" customHeight="1">
      <c r="A22" s="28"/>
      <c r="B22" s="28"/>
      <c r="C22" s="52" t="s">
        <v>130</v>
      </c>
      <c r="D22" s="62" t="s">
        <v>169</v>
      </c>
      <c r="E22" s="49" t="s">
        <v>74</v>
      </c>
      <c r="F22" s="50">
        <v>4000000</v>
      </c>
      <c r="G22" s="131">
        <f>112441+1012906</f>
        <v>1125347</v>
      </c>
      <c r="H22" s="171">
        <f t="shared" si="0"/>
        <v>700000</v>
      </c>
      <c r="I22" s="152">
        <v>700000</v>
      </c>
      <c r="J22" s="55"/>
      <c r="K22" s="55"/>
      <c r="L22"/>
      <c r="M22"/>
      <c r="N22"/>
      <c r="O22"/>
    </row>
    <row r="23" spans="1:15" s="36" customFormat="1" ht="19.5" customHeight="1">
      <c r="A23" s="28"/>
      <c r="B23" s="28"/>
      <c r="C23" s="52" t="s">
        <v>176</v>
      </c>
      <c r="D23" s="94" t="s">
        <v>105</v>
      </c>
      <c r="E23" s="53" t="s">
        <v>122</v>
      </c>
      <c r="F23" s="54">
        <v>2234223</v>
      </c>
      <c r="G23" s="129">
        <v>1255223</v>
      </c>
      <c r="H23" s="171">
        <f t="shared" si="0"/>
        <v>979000</v>
      </c>
      <c r="I23" s="152">
        <v>979000</v>
      </c>
      <c r="J23" s="55"/>
      <c r="K23" s="55"/>
      <c r="L23"/>
      <c r="M23"/>
      <c r="N23"/>
      <c r="O23"/>
    </row>
    <row r="24" spans="1:15" s="36" customFormat="1" ht="29.25" customHeight="1">
      <c r="A24" s="28"/>
      <c r="B24" s="28"/>
      <c r="C24" s="52" t="s">
        <v>207</v>
      </c>
      <c r="D24" s="62" t="s">
        <v>157</v>
      </c>
      <c r="E24" s="49" t="s">
        <v>107</v>
      </c>
      <c r="F24" s="61">
        <v>19800000</v>
      </c>
      <c r="G24" s="129">
        <f>2361405+421000</f>
        <v>2782405</v>
      </c>
      <c r="H24" s="171">
        <f t="shared" si="0"/>
        <v>3000000</v>
      </c>
      <c r="I24" s="152">
        <v>3000000</v>
      </c>
      <c r="J24" s="55"/>
      <c r="K24" s="55"/>
      <c r="L24"/>
      <c r="M24"/>
      <c r="N24"/>
      <c r="O24"/>
    </row>
    <row r="25" spans="1:15" s="36" customFormat="1" ht="20.25" customHeight="1">
      <c r="A25" s="28"/>
      <c r="B25" s="28"/>
      <c r="C25" s="52" t="s">
        <v>190</v>
      </c>
      <c r="D25" s="62" t="s">
        <v>109</v>
      </c>
      <c r="E25" s="49" t="s">
        <v>110</v>
      </c>
      <c r="F25" s="50">
        <v>29000000</v>
      </c>
      <c r="G25" s="129">
        <v>200000</v>
      </c>
      <c r="H25" s="171">
        <f t="shared" si="0"/>
        <v>9000000</v>
      </c>
      <c r="I25" s="152">
        <v>9000000</v>
      </c>
      <c r="J25" s="55"/>
      <c r="K25" s="55"/>
      <c r="L25"/>
      <c r="M25"/>
      <c r="N25"/>
      <c r="O25"/>
    </row>
    <row r="26" spans="1:15" s="36" customFormat="1" ht="27.75" customHeight="1">
      <c r="A26" s="28"/>
      <c r="B26" s="28"/>
      <c r="C26" s="269" t="s">
        <v>120</v>
      </c>
      <c r="D26" s="62" t="s">
        <v>109</v>
      </c>
      <c r="E26" s="49" t="s">
        <v>78</v>
      </c>
      <c r="F26" s="50">
        <v>31000000</v>
      </c>
      <c r="G26" s="129">
        <v>1212726</v>
      </c>
      <c r="H26" s="171">
        <f t="shared" si="0"/>
        <v>1500000</v>
      </c>
      <c r="I26" s="152">
        <v>1500000</v>
      </c>
      <c r="J26" s="55"/>
      <c r="K26" s="55"/>
      <c r="L26"/>
      <c r="M26"/>
      <c r="N26"/>
      <c r="O26"/>
    </row>
    <row r="27" spans="1:15" s="36" customFormat="1" ht="42" customHeight="1">
      <c r="A27" s="28"/>
      <c r="B27" s="28"/>
      <c r="C27" s="52" t="s">
        <v>131</v>
      </c>
      <c r="D27" s="62" t="s">
        <v>170</v>
      </c>
      <c r="E27" s="49" t="s">
        <v>78</v>
      </c>
      <c r="F27" s="50">
        <v>117850000</v>
      </c>
      <c r="G27" s="129">
        <f>9702+10000</f>
        <v>19702</v>
      </c>
      <c r="H27" s="171">
        <f t="shared" si="0"/>
        <v>1000000</v>
      </c>
      <c r="I27" s="152">
        <v>1000000</v>
      </c>
      <c r="J27" s="55"/>
      <c r="K27" s="55"/>
      <c r="L27"/>
      <c r="M27"/>
      <c r="N27"/>
      <c r="O27"/>
    </row>
    <row r="28" spans="1:15" s="36" customFormat="1" ht="26.25" customHeight="1">
      <c r="A28" s="28"/>
      <c r="B28" s="28"/>
      <c r="C28" s="52" t="s">
        <v>93</v>
      </c>
      <c r="D28" s="94" t="s">
        <v>108</v>
      </c>
      <c r="E28" s="274">
        <v>2004</v>
      </c>
      <c r="F28" s="54"/>
      <c r="G28" s="129"/>
      <c r="H28" s="171">
        <f t="shared" si="0"/>
        <v>200000</v>
      </c>
      <c r="I28" s="152">
        <v>200000</v>
      </c>
      <c r="J28" s="55"/>
      <c r="K28" s="55"/>
      <c r="L28"/>
      <c r="M28"/>
      <c r="N28"/>
      <c r="O28"/>
    </row>
    <row r="29" spans="1:15" s="36" customFormat="1" ht="18.75" customHeight="1">
      <c r="A29" s="28"/>
      <c r="B29" s="28"/>
      <c r="C29" s="55" t="s">
        <v>25</v>
      </c>
      <c r="D29" s="94"/>
      <c r="E29" s="274">
        <v>2004</v>
      </c>
      <c r="F29" s="54"/>
      <c r="G29" s="129"/>
      <c r="H29" s="171">
        <f>SUM(I29:K29)</f>
        <v>100000</v>
      </c>
      <c r="I29" s="152">
        <v>100000</v>
      </c>
      <c r="J29" s="55" t="s">
        <v>97</v>
      </c>
      <c r="K29" s="55"/>
      <c r="L29"/>
      <c r="M29"/>
      <c r="N29"/>
      <c r="O29"/>
    </row>
    <row r="30" spans="1:15" s="33" customFormat="1" ht="20.25" customHeight="1">
      <c r="A30" s="44"/>
      <c r="B30" s="38">
        <v>60016</v>
      </c>
      <c r="C30" s="39" t="s">
        <v>26</v>
      </c>
      <c r="D30" s="67"/>
      <c r="E30" s="64"/>
      <c r="F30" s="100"/>
      <c r="G30" s="128">
        <f>SUM(G31:G36)</f>
        <v>4095524</v>
      </c>
      <c r="H30" s="166">
        <f aca="true" t="shared" si="1" ref="H30:H38">I30+J30+K30</f>
        <v>2700000</v>
      </c>
      <c r="I30" s="149">
        <f>SUM(I31:I36)</f>
        <v>2700000</v>
      </c>
      <c r="J30" s="39"/>
      <c r="K30" s="39"/>
      <c r="L30"/>
      <c r="M30"/>
      <c r="N30"/>
      <c r="O30"/>
    </row>
    <row r="31" spans="1:15" s="36" customFormat="1" ht="28.5" customHeight="1">
      <c r="A31" s="28"/>
      <c r="B31" s="47"/>
      <c r="C31" s="48" t="s">
        <v>175</v>
      </c>
      <c r="D31" s="62" t="s">
        <v>106</v>
      </c>
      <c r="E31" s="49" t="s">
        <v>76</v>
      </c>
      <c r="F31" s="50">
        <v>8000000</v>
      </c>
      <c r="G31" s="131">
        <f>397436+50000</f>
        <v>447436</v>
      </c>
      <c r="H31" s="168">
        <f t="shared" si="1"/>
        <v>1500000</v>
      </c>
      <c r="I31" s="209">
        <v>1500000</v>
      </c>
      <c r="J31" s="51"/>
      <c r="K31" s="51"/>
      <c r="L31"/>
      <c r="M31"/>
      <c r="N31"/>
      <c r="O31"/>
    </row>
    <row r="32" spans="1:15" s="36" customFormat="1" ht="18.75" customHeight="1">
      <c r="A32" s="28"/>
      <c r="B32" s="28"/>
      <c r="C32" s="114" t="s">
        <v>158</v>
      </c>
      <c r="D32" s="56" t="s">
        <v>108</v>
      </c>
      <c r="E32" s="182" t="s">
        <v>111</v>
      </c>
      <c r="F32" s="183">
        <v>3447168</v>
      </c>
      <c r="G32" s="184">
        <f>1947168+300000</f>
        <v>2247168</v>
      </c>
      <c r="H32" s="169">
        <f t="shared" si="1"/>
        <v>200000</v>
      </c>
      <c r="I32" s="154">
        <v>200000</v>
      </c>
      <c r="J32" s="114"/>
      <c r="K32" s="114"/>
      <c r="L32"/>
      <c r="M32"/>
      <c r="N32"/>
      <c r="O32"/>
    </row>
    <row r="33" spans="1:15" s="36" customFormat="1" ht="27" customHeight="1">
      <c r="A33" s="28"/>
      <c r="B33" s="28"/>
      <c r="C33" s="52" t="s">
        <v>177</v>
      </c>
      <c r="D33" s="94" t="s">
        <v>108</v>
      </c>
      <c r="E33" s="265" t="s">
        <v>92</v>
      </c>
      <c r="F33" s="54">
        <v>1507574</v>
      </c>
      <c r="G33" s="129">
        <f>297574+210000</f>
        <v>507574</v>
      </c>
      <c r="H33" s="171">
        <f t="shared" si="1"/>
        <v>150000</v>
      </c>
      <c r="I33" s="152">
        <v>150000</v>
      </c>
      <c r="J33" s="55"/>
      <c r="K33" s="55"/>
      <c r="L33"/>
      <c r="M33"/>
      <c r="N33"/>
      <c r="O33"/>
    </row>
    <row r="34" spans="1:15" s="36" customFormat="1" ht="21.75" customHeight="1">
      <c r="A34" s="28"/>
      <c r="B34" s="28"/>
      <c r="C34" s="52" t="s">
        <v>178</v>
      </c>
      <c r="D34" s="94" t="s">
        <v>157</v>
      </c>
      <c r="E34" s="265" t="s">
        <v>88</v>
      </c>
      <c r="F34" s="54">
        <v>1500000</v>
      </c>
      <c r="G34" s="129">
        <v>200000</v>
      </c>
      <c r="H34" s="171">
        <f t="shared" si="1"/>
        <v>500000</v>
      </c>
      <c r="I34" s="152">
        <v>500000</v>
      </c>
      <c r="J34" s="55"/>
      <c r="K34" s="55"/>
      <c r="L34"/>
      <c r="M34"/>
      <c r="N34"/>
      <c r="O34"/>
    </row>
    <row r="35" spans="1:15" s="36" customFormat="1" ht="18.75" customHeight="1">
      <c r="A35" s="28"/>
      <c r="B35" s="28"/>
      <c r="C35" s="52" t="s">
        <v>155</v>
      </c>
      <c r="D35" s="94" t="s">
        <v>156</v>
      </c>
      <c r="E35" s="265" t="s">
        <v>74</v>
      </c>
      <c r="F35" s="54">
        <v>1509223</v>
      </c>
      <c r="G35" s="129">
        <v>293346</v>
      </c>
      <c r="H35" s="171">
        <f t="shared" si="1"/>
        <v>50000</v>
      </c>
      <c r="I35" s="152">
        <v>50000</v>
      </c>
      <c r="J35" s="55"/>
      <c r="K35" s="55"/>
      <c r="L35"/>
      <c r="M35"/>
      <c r="N35"/>
      <c r="O35"/>
    </row>
    <row r="36" spans="1:15" s="36" customFormat="1" ht="18" customHeight="1">
      <c r="A36" s="40"/>
      <c r="B36" s="305"/>
      <c r="C36" s="306" t="s">
        <v>70</v>
      </c>
      <c r="D36" s="307" t="s">
        <v>108</v>
      </c>
      <c r="E36" s="308" t="s">
        <v>88</v>
      </c>
      <c r="F36" s="309">
        <v>2300000</v>
      </c>
      <c r="G36" s="310">
        <v>400000</v>
      </c>
      <c r="H36" s="311">
        <f t="shared" si="1"/>
        <v>300000</v>
      </c>
      <c r="I36" s="312">
        <v>300000</v>
      </c>
      <c r="J36" s="306"/>
      <c r="K36" s="306"/>
      <c r="L36"/>
      <c r="M36"/>
      <c r="N36"/>
      <c r="O36"/>
    </row>
    <row r="37" spans="1:15" s="36" customFormat="1" ht="19.5" customHeight="1">
      <c r="A37" s="34">
        <v>700</v>
      </c>
      <c r="B37" s="34"/>
      <c r="C37" s="66" t="s">
        <v>28</v>
      </c>
      <c r="D37" s="219"/>
      <c r="E37" s="251"/>
      <c r="F37" s="66"/>
      <c r="G37" s="155">
        <f>G40</f>
        <v>2000000</v>
      </c>
      <c r="H37" s="170">
        <f t="shared" si="1"/>
        <v>3300000</v>
      </c>
      <c r="I37" s="155">
        <f>I42+I38+I40</f>
        <v>3300000</v>
      </c>
      <c r="J37" s="155"/>
      <c r="K37" s="155"/>
      <c r="L37"/>
      <c r="M37"/>
      <c r="N37"/>
      <c r="O37"/>
    </row>
    <row r="38" spans="1:15" s="33" customFormat="1" ht="21" customHeight="1">
      <c r="A38" s="44"/>
      <c r="B38" s="38">
        <v>70001</v>
      </c>
      <c r="C38" s="39" t="s">
        <v>84</v>
      </c>
      <c r="D38" s="218"/>
      <c r="E38" s="250"/>
      <c r="F38" s="39"/>
      <c r="G38" s="149"/>
      <c r="H38" s="166">
        <f t="shared" si="1"/>
        <v>300000</v>
      </c>
      <c r="I38" s="149">
        <f>SUM(I39:I39)</f>
        <v>300000</v>
      </c>
      <c r="J38" s="149"/>
      <c r="K38" s="149"/>
      <c r="L38"/>
      <c r="M38"/>
      <c r="N38"/>
      <c r="O38"/>
    </row>
    <row r="39" spans="1:15" s="36" customFormat="1" ht="23.25" customHeight="1">
      <c r="A39" s="28"/>
      <c r="B39" s="47"/>
      <c r="C39" s="48" t="s">
        <v>85</v>
      </c>
      <c r="D39" s="70" t="s">
        <v>202</v>
      </c>
      <c r="E39" s="191">
        <v>2004</v>
      </c>
      <c r="F39" s="51"/>
      <c r="G39" s="134"/>
      <c r="H39" s="168">
        <v>300000</v>
      </c>
      <c r="I39" s="150">
        <v>300000</v>
      </c>
      <c r="J39" s="51"/>
      <c r="K39" s="51"/>
      <c r="L39"/>
      <c r="M39"/>
      <c r="N39"/>
      <c r="O39"/>
    </row>
    <row r="40" spans="1:15" s="33" customFormat="1" ht="21.75" customHeight="1">
      <c r="A40" s="44"/>
      <c r="B40" s="38">
        <v>70021</v>
      </c>
      <c r="C40" s="39" t="s">
        <v>139</v>
      </c>
      <c r="D40" s="218"/>
      <c r="E40" s="250"/>
      <c r="F40" s="39"/>
      <c r="G40" s="149">
        <f>G41</f>
        <v>2000000</v>
      </c>
      <c r="H40" s="166">
        <f>I40+J40+K40</f>
        <v>1500000</v>
      </c>
      <c r="I40" s="149">
        <f>I41</f>
        <v>1500000</v>
      </c>
      <c r="J40" s="149"/>
      <c r="K40" s="149"/>
      <c r="L40"/>
      <c r="M40"/>
      <c r="N40"/>
      <c r="O40"/>
    </row>
    <row r="41" spans="1:15" s="36" customFormat="1" ht="43.5" customHeight="1">
      <c r="A41" s="28"/>
      <c r="B41" s="41"/>
      <c r="C41" s="42" t="s">
        <v>140</v>
      </c>
      <c r="D41" s="67" t="s">
        <v>179</v>
      </c>
      <c r="E41" s="199" t="s">
        <v>88</v>
      </c>
      <c r="F41" s="43">
        <v>13000000</v>
      </c>
      <c r="G41" s="138">
        <v>2000000</v>
      </c>
      <c r="H41" s="174">
        <v>1500000</v>
      </c>
      <c r="I41" s="158">
        <v>1500000</v>
      </c>
      <c r="J41" s="43"/>
      <c r="K41" s="43"/>
      <c r="L41"/>
      <c r="M41"/>
      <c r="N41"/>
      <c r="O41"/>
    </row>
    <row r="42" spans="1:15" s="33" customFormat="1" ht="21.75" customHeight="1">
      <c r="A42" s="44"/>
      <c r="B42" s="38">
        <v>70095</v>
      </c>
      <c r="C42" s="39" t="s">
        <v>22</v>
      </c>
      <c r="D42" s="218"/>
      <c r="E42" s="250"/>
      <c r="F42" s="39"/>
      <c r="G42" s="149"/>
      <c r="H42" s="166">
        <f>I42+J42+K42</f>
        <v>1500000</v>
      </c>
      <c r="I42" s="149">
        <f>I43</f>
        <v>1500000</v>
      </c>
      <c r="J42" s="149"/>
      <c r="K42" s="149"/>
      <c r="L42"/>
      <c r="M42"/>
      <c r="N42"/>
      <c r="O42"/>
    </row>
    <row r="43" spans="1:15" s="36" customFormat="1" ht="28.5" customHeight="1">
      <c r="A43" s="40"/>
      <c r="B43" s="41"/>
      <c r="C43" s="42" t="s">
        <v>63</v>
      </c>
      <c r="D43" s="67" t="s">
        <v>208</v>
      </c>
      <c r="E43" s="199">
        <v>2004</v>
      </c>
      <c r="F43" s="43"/>
      <c r="G43" s="138"/>
      <c r="H43" s="174">
        <v>1500000</v>
      </c>
      <c r="I43" s="158">
        <v>1500000</v>
      </c>
      <c r="J43" s="43"/>
      <c r="K43" s="43"/>
      <c r="L43"/>
      <c r="M43"/>
      <c r="N43"/>
      <c r="O43"/>
    </row>
    <row r="44" spans="1:15" s="36" customFormat="1" ht="21" customHeight="1">
      <c r="A44" s="34">
        <v>710</v>
      </c>
      <c r="B44" s="34"/>
      <c r="C44" s="66" t="s">
        <v>199</v>
      </c>
      <c r="D44" s="219"/>
      <c r="E44" s="251"/>
      <c r="F44" s="66"/>
      <c r="G44" s="155">
        <f>G45</f>
        <v>6000</v>
      </c>
      <c r="H44" s="170">
        <f aca="true" t="shared" si="2" ref="H44:H50">I44+J44+K44</f>
        <v>44000</v>
      </c>
      <c r="I44" s="155">
        <f>I45</f>
        <v>44000</v>
      </c>
      <c r="J44" s="155"/>
      <c r="K44" s="155"/>
      <c r="L44"/>
      <c r="M44"/>
      <c r="N44"/>
      <c r="O44"/>
    </row>
    <row r="45" spans="1:15" s="33" customFormat="1" ht="21" customHeight="1">
      <c r="A45" s="44"/>
      <c r="B45" s="38">
        <v>71095</v>
      </c>
      <c r="C45" s="39" t="s">
        <v>22</v>
      </c>
      <c r="D45" s="218"/>
      <c r="E45" s="250"/>
      <c r="F45" s="39"/>
      <c r="G45" s="149">
        <f>G46</f>
        <v>6000</v>
      </c>
      <c r="H45" s="166">
        <f t="shared" si="2"/>
        <v>44000</v>
      </c>
      <c r="I45" s="149">
        <f>SUM(I46:I46)</f>
        <v>44000</v>
      </c>
      <c r="J45" s="149"/>
      <c r="K45" s="149"/>
      <c r="L45"/>
      <c r="M45"/>
      <c r="N45"/>
      <c r="O45"/>
    </row>
    <row r="46" spans="1:15" s="36" customFormat="1" ht="28.5" customHeight="1">
      <c r="A46" s="28"/>
      <c r="B46" s="47"/>
      <c r="C46" s="42" t="s">
        <v>200</v>
      </c>
      <c r="D46" s="70" t="s">
        <v>201</v>
      </c>
      <c r="E46" s="191" t="s">
        <v>75</v>
      </c>
      <c r="F46" s="51"/>
      <c r="G46" s="134">
        <v>6000</v>
      </c>
      <c r="H46" s="168">
        <f t="shared" si="2"/>
        <v>44000</v>
      </c>
      <c r="I46" s="150">
        <v>44000</v>
      </c>
      <c r="J46" s="51"/>
      <c r="K46" s="51"/>
      <c r="L46"/>
      <c r="M46"/>
      <c r="N46"/>
      <c r="O46"/>
    </row>
    <row r="47" spans="1:15" s="36" customFormat="1" ht="21" customHeight="1">
      <c r="A47" s="34">
        <v>750</v>
      </c>
      <c r="B47" s="34"/>
      <c r="C47" s="66" t="s">
        <v>29</v>
      </c>
      <c r="D47" s="219"/>
      <c r="E47" s="251"/>
      <c r="F47" s="66"/>
      <c r="G47" s="155"/>
      <c r="H47" s="170">
        <f t="shared" si="2"/>
        <v>1800000</v>
      </c>
      <c r="I47" s="155">
        <f>I48</f>
        <v>1800000</v>
      </c>
      <c r="J47" s="155"/>
      <c r="K47" s="155"/>
      <c r="L47"/>
      <c r="M47"/>
      <c r="N47"/>
      <c r="O47"/>
    </row>
    <row r="48" spans="1:15" s="33" customFormat="1" ht="21" customHeight="1">
      <c r="A48" s="37"/>
      <c r="B48" s="38">
        <v>75023</v>
      </c>
      <c r="C48" s="46" t="s">
        <v>64</v>
      </c>
      <c r="D48" s="218"/>
      <c r="E48" s="250"/>
      <c r="F48" s="39"/>
      <c r="G48" s="149"/>
      <c r="H48" s="166">
        <f t="shared" si="2"/>
        <v>1800000</v>
      </c>
      <c r="I48" s="149">
        <f>SUM(I49:I50)</f>
        <v>1800000</v>
      </c>
      <c r="J48" s="149"/>
      <c r="K48" s="149"/>
      <c r="L48"/>
      <c r="M48"/>
      <c r="N48"/>
      <c r="O48"/>
    </row>
    <row r="49" spans="1:15" s="36" customFormat="1" ht="21" customHeight="1">
      <c r="A49" s="28"/>
      <c r="B49" s="28"/>
      <c r="C49" s="58" t="s">
        <v>86</v>
      </c>
      <c r="D49" s="96" t="s">
        <v>186</v>
      </c>
      <c r="E49" s="200">
        <v>2004</v>
      </c>
      <c r="F49" s="58"/>
      <c r="G49" s="139"/>
      <c r="H49" s="176">
        <f t="shared" si="2"/>
        <v>960000</v>
      </c>
      <c r="I49" s="151">
        <f>960000</f>
        <v>960000</v>
      </c>
      <c r="J49" s="58"/>
      <c r="K49" s="58"/>
      <c r="L49"/>
      <c r="M49"/>
      <c r="N49"/>
      <c r="O49"/>
    </row>
    <row r="50" spans="1:15" s="36" customFormat="1" ht="26.25" customHeight="1">
      <c r="A50" s="40"/>
      <c r="B50" s="40"/>
      <c r="C50" s="69" t="s">
        <v>27</v>
      </c>
      <c r="D50" s="93" t="s">
        <v>159</v>
      </c>
      <c r="E50" s="201">
        <v>2004</v>
      </c>
      <c r="F50" s="69"/>
      <c r="G50" s="136"/>
      <c r="H50" s="172">
        <f t="shared" si="2"/>
        <v>840000</v>
      </c>
      <c r="I50" s="156">
        <f>200000+570000+70000</f>
        <v>840000</v>
      </c>
      <c r="J50" s="69"/>
      <c r="K50" s="69"/>
      <c r="L50"/>
      <c r="M50"/>
      <c r="N50"/>
      <c r="O50"/>
    </row>
    <row r="51" spans="1:15" s="36" customFormat="1" ht="30.75" customHeight="1">
      <c r="A51" s="71">
        <v>754</v>
      </c>
      <c r="B51" s="34"/>
      <c r="C51" s="72" t="s">
        <v>30</v>
      </c>
      <c r="D51" s="219"/>
      <c r="E51" s="251"/>
      <c r="F51" s="66"/>
      <c r="G51" s="278">
        <f>G52+G54</f>
        <v>617322</v>
      </c>
      <c r="H51" s="170">
        <f>H52+H54</f>
        <v>250000</v>
      </c>
      <c r="I51" s="155">
        <f>I52+I54</f>
        <v>250000</v>
      </c>
      <c r="J51" s="155"/>
      <c r="K51" s="155"/>
      <c r="L51"/>
      <c r="M51"/>
      <c r="N51"/>
      <c r="O51"/>
    </row>
    <row r="52" spans="1:15" s="33" customFormat="1" ht="29.25" customHeight="1">
      <c r="A52" s="44"/>
      <c r="B52" s="73">
        <v>75411</v>
      </c>
      <c r="C52" s="74" t="s">
        <v>31</v>
      </c>
      <c r="D52" s="220"/>
      <c r="E52" s="252"/>
      <c r="F52" s="65"/>
      <c r="G52" s="157"/>
      <c r="H52" s="173">
        <f aca="true" t="shared" si="3" ref="H52:H57">I52+J52+K52</f>
        <v>100000</v>
      </c>
      <c r="I52" s="157">
        <f>I53</f>
        <v>100000</v>
      </c>
      <c r="J52" s="157"/>
      <c r="K52" s="157"/>
      <c r="L52"/>
      <c r="M52"/>
      <c r="N52"/>
      <c r="O52"/>
    </row>
    <row r="53" spans="1:15" s="36" customFormat="1" ht="26.25" customHeight="1">
      <c r="A53" s="28"/>
      <c r="B53" s="41"/>
      <c r="C53" s="42" t="s">
        <v>72</v>
      </c>
      <c r="D53" s="67" t="s">
        <v>173</v>
      </c>
      <c r="E53" s="199">
        <v>2004</v>
      </c>
      <c r="F53" s="43">
        <v>420000</v>
      </c>
      <c r="G53" s="138"/>
      <c r="H53" s="174">
        <f t="shared" si="3"/>
        <v>100000</v>
      </c>
      <c r="I53" s="158">
        <v>100000</v>
      </c>
      <c r="J53" s="43"/>
      <c r="K53" s="43"/>
      <c r="L53"/>
      <c r="M53"/>
      <c r="N53"/>
      <c r="O53"/>
    </row>
    <row r="54" spans="1:15" s="33" customFormat="1" ht="21" customHeight="1">
      <c r="A54" s="44"/>
      <c r="B54" s="79">
        <v>75495</v>
      </c>
      <c r="C54" s="74" t="s">
        <v>22</v>
      </c>
      <c r="D54" s="220"/>
      <c r="E54" s="252"/>
      <c r="F54" s="65"/>
      <c r="G54" s="157">
        <f>G55</f>
        <v>617322</v>
      </c>
      <c r="H54" s="173">
        <f t="shared" si="3"/>
        <v>150000</v>
      </c>
      <c r="I54" s="157">
        <f>I55</f>
        <v>150000</v>
      </c>
      <c r="J54" s="157"/>
      <c r="K54" s="157"/>
      <c r="L54"/>
      <c r="M54"/>
      <c r="N54"/>
      <c r="O54"/>
    </row>
    <row r="55" spans="1:15" s="36" customFormat="1" ht="21" customHeight="1">
      <c r="A55" s="40"/>
      <c r="B55" s="40"/>
      <c r="C55" s="68" t="s">
        <v>71</v>
      </c>
      <c r="D55" s="93" t="s">
        <v>152</v>
      </c>
      <c r="E55" s="115" t="s">
        <v>92</v>
      </c>
      <c r="F55" s="69">
        <f>617322+150000+150000</f>
        <v>917322</v>
      </c>
      <c r="G55" s="136">
        <f>67322+550000</f>
        <v>617322</v>
      </c>
      <c r="H55" s="172">
        <f t="shared" si="3"/>
        <v>150000</v>
      </c>
      <c r="I55" s="156">
        <v>150000</v>
      </c>
      <c r="J55" s="69"/>
      <c r="K55" s="69"/>
      <c r="L55"/>
      <c r="M55"/>
      <c r="N55"/>
      <c r="O55"/>
    </row>
    <row r="56" spans="1:15" s="36" customFormat="1" ht="21" customHeight="1">
      <c r="A56" s="75">
        <v>801</v>
      </c>
      <c r="B56" s="76"/>
      <c r="C56" s="77" t="s">
        <v>32</v>
      </c>
      <c r="D56" s="221"/>
      <c r="E56" s="249"/>
      <c r="F56" s="35"/>
      <c r="G56" s="148">
        <f>G57+G63+G67+G69</f>
        <v>51178426</v>
      </c>
      <c r="H56" s="175">
        <f t="shared" si="3"/>
        <v>27810000</v>
      </c>
      <c r="I56" s="148">
        <f>I57+I63+I67+I69</f>
        <v>9853000</v>
      </c>
      <c r="J56" s="148">
        <f>J57+J63+J67+J69</f>
        <v>17957000</v>
      </c>
      <c r="K56" s="148"/>
      <c r="L56"/>
      <c r="M56"/>
      <c r="N56"/>
      <c r="O56"/>
    </row>
    <row r="57" spans="1:15" s="33" customFormat="1" ht="21" customHeight="1">
      <c r="A57" s="37"/>
      <c r="B57" s="78">
        <v>80101</v>
      </c>
      <c r="C57" s="46" t="s">
        <v>33</v>
      </c>
      <c r="D57" s="218"/>
      <c r="E57" s="250"/>
      <c r="F57" s="39"/>
      <c r="G57" s="149">
        <f>SUM(G58:G62)</f>
        <v>26133037</v>
      </c>
      <c r="H57" s="166">
        <f t="shared" si="3"/>
        <v>10590000</v>
      </c>
      <c r="I57" s="149">
        <f>SUM(I58:I62)</f>
        <v>4396000</v>
      </c>
      <c r="J57" s="149">
        <f>SUM(J58:J62)</f>
        <v>6194000</v>
      </c>
      <c r="K57" s="149"/>
      <c r="L57"/>
      <c r="M57"/>
      <c r="N57"/>
      <c r="O57"/>
    </row>
    <row r="58" spans="1:15" s="36" customFormat="1" ht="21" customHeight="1">
      <c r="A58" s="28"/>
      <c r="B58" s="28"/>
      <c r="C58" s="103" t="s">
        <v>189</v>
      </c>
      <c r="D58" s="116" t="s">
        <v>206</v>
      </c>
      <c r="E58" s="49" t="s">
        <v>81</v>
      </c>
      <c r="F58" s="50">
        <v>6100000</v>
      </c>
      <c r="G58" s="131">
        <f>142740+462000</f>
        <v>604740</v>
      </c>
      <c r="H58" s="171">
        <f>K58+J58+I58</f>
        <v>300000</v>
      </c>
      <c r="I58" s="152">
        <v>300000</v>
      </c>
      <c r="J58" s="55"/>
      <c r="K58" s="55"/>
      <c r="L58"/>
      <c r="M58"/>
      <c r="N58"/>
      <c r="O58"/>
    </row>
    <row r="59" spans="1:15" s="36" customFormat="1" ht="21" customHeight="1">
      <c r="A59" s="28"/>
      <c r="B59" s="28"/>
      <c r="C59" s="52" t="s">
        <v>188</v>
      </c>
      <c r="D59" s="116" t="s">
        <v>187</v>
      </c>
      <c r="E59" s="187" t="s">
        <v>81</v>
      </c>
      <c r="F59" s="205">
        <v>7000000</v>
      </c>
      <c r="G59" s="206">
        <f>70187+200000</f>
        <v>270187</v>
      </c>
      <c r="H59" s="167">
        <f>I59+J59+K59</f>
        <v>600000</v>
      </c>
      <c r="I59" s="153">
        <v>600000</v>
      </c>
      <c r="J59" s="29"/>
      <c r="K59" s="29"/>
      <c r="L59"/>
      <c r="M59"/>
      <c r="N59"/>
      <c r="O59"/>
    </row>
    <row r="60" spans="1:15" s="36" customFormat="1" ht="21" customHeight="1">
      <c r="A60" s="28"/>
      <c r="B60" s="28"/>
      <c r="C60" s="52" t="s">
        <v>153</v>
      </c>
      <c r="D60" s="62" t="s">
        <v>191</v>
      </c>
      <c r="E60" s="49" t="s">
        <v>80</v>
      </c>
      <c r="F60" s="50">
        <v>23300000</v>
      </c>
      <c r="G60" s="131">
        <f>14508575+1000000</f>
        <v>15508575</v>
      </c>
      <c r="H60" s="171">
        <f>I60+J60+K60</f>
        <v>800000</v>
      </c>
      <c r="I60" s="152">
        <v>800000</v>
      </c>
      <c r="J60" s="55"/>
      <c r="K60" s="55"/>
      <c r="L60"/>
      <c r="M60"/>
      <c r="N60"/>
      <c r="O60"/>
    </row>
    <row r="61" spans="1:15" s="36" customFormat="1" ht="21" customHeight="1">
      <c r="A61" s="28"/>
      <c r="B61" s="28"/>
      <c r="C61" s="80" t="s">
        <v>172</v>
      </c>
      <c r="D61" s="62" t="s">
        <v>160</v>
      </c>
      <c r="E61" s="59" t="s">
        <v>107</v>
      </c>
      <c r="F61" s="60">
        <v>13500000</v>
      </c>
      <c r="G61" s="130">
        <f>7633912+1532579</f>
        <v>9166491</v>
      </c>
      <c r="H61" s="176">
        <f>K61+J61+I61</f>
        <v>1000000</v>
      </c>
      <c r="I61" s="151">
        <v>1000000</v>
      </c>
      <c r="J61" s="58"/>
      <c r="K61" s="58"/>
      <c r="L61"/>
      <c r="M61"/>
      <c r="N61"/>
      <c r="O61"/>
    </row>
    <row r="62" spans="1:15" s="36" customFormat="1" ht="21" customHeight="1">
      <c r="A62" s="28"/>
      <c r="B62" s="28"/>
      <c r="C62" s="85" t="s">
        <v>144</v>
      </c>
      <c r="D62" s="116" t="s">
        <v>132</v>
      </c>
      <c r="E62" s="117" t="s">
        <v>75</v>
      </c>
      <c r="F62" s="188">
        <f>500000+7840000+83044+50000</f>
        <v>8473044</v>
      </c>
      <c r="G62" s="189">
        <f>83044+500000</f>
        <v>583044</v>
      </c>
      <c r="H62" s="171">
        <f aca="true" t="shared" si="4" ref="H62:H67">I62+J62+K62</f>
        <v>7890000</v>
      </c>
      <c r="I62" s="153">
        <f>1646000+50000</f>
        <v>1696000</v>
      </c>
      <c r="J62" s="86">
        <v>6194000</v>
      </c>
      <c r="K62" s="86"/>
      <c r="L62"/>
      <c r="M62"/>
      <c r="N62"/>
      <c r="O62"/>
    </row>
    <row r="63" spans="1:15" s="33" customFormat="1" ht="21" customHeight="1">
      <c r="A63" s="44"/>
      <c r="B63" s="78">
        <v>80110</v>
      </c>
      <c r="C63" s="46" t="s">
        <v>34</v>
      </c>
      <c r="D63" s="46"/>
      <c r="E63" s="250"/>
      <c r="F63" s="39"/>
      <c r="G63" s="128">
        <f>SUM(G64:G66)</f>
        <v>3040358</v>
      </c>
      <c r="H63" s="166">
        <f t="shared" si="4"/>
        <v>5890000</v>
      </c>
      <c r="I63" s="149">
        <f>SUM(I64:I66)</f>
        <v>2277000</v>
      </c>
      <c r="J63" s="149">
        <f>SUM(J64:J66)</f>
        <v>3613000</v>
      </c>
      <c r="K63" s="149"/>
      <c r="L63"/>
      <c r="M63"/>
      <c r="N63"/>
      <c r="O63"/>
    </row>
    <row r="64" spans="1:15" s="36" customFormat="1" ht="21" customHeight="1">
      <c r="A64" s="28"/>
      <c r="B64" s="47"/>
      <c r="C64" s="51" t="s">
        <v>57</v>
      </c>
      <c r="D64" s="94" t="s">
        <v>161</v>
      </c>
      <c r="E64" s="186" t="s">
        <v>81</v>
      </c>
      <c r="F64" s="54">
        <v>4477318</v>
      </c>
      <c r="G64" s="134">
        <f>377318+1800000</f>
        <v>2177318</v>
      </c>
      <c r="H64" s="285">
        <f t="shared" si="4"/>
        <v>900000</v>
      </c>
      <c r="I64" s="150">
        <v>900000</v>
      </c>
      <c r="J64" s="51"/>
      <c r="K64" s="51"/>
      <c r="L64"/>
      <c r="M64"/>
      <c r="N64"/>
      <c r="O64"/>
    </row>
    <row r="65" spans="1:15" s="36" customFormat="1" ht="21" customHeight="1">
      <c r="A65" s="28"/>
      <c r="B65" s="28"/>
      <c r="C65" s="58" t="s">
        <v>151</v>
      </c>
      <c r="D65" s="94" t="s">
        <v>192</v>
      </c>
      <c r="E65" s="186" t="s">
        <v>92</v>
      </c>
      <c r="F65" s="54">
        <v>2161240</v>
      </c>
      <c r="G65" s="139">
        <f>51240+500000</f>
        <v>551240</v>
      </c>
      <c r="H65" s="171">
        <f t="shared" si="4"/>
        <v>400000</v>
      </c>
      <c r="I65" s="151">
        <v>400000</v>
      </c>
      <c r="J65" s="58"/>
      <c r="K65" s="58"/>
      <c r="L65"/>
      <c r="M65"/>
      <c r="N65"/>
      <c r="O65"/>
    </row>
    <row r="66" spans="1:15" s="36" customFormat="1" ht="21" customHeight="1">
      <c r="A66" s="40"/>
      <c r="B66" s="40"/>
      <c r="C66" s="95" t="s">
        <v>144</v>
      </c>
      <c r="D66" s="327" t="s">
        <v>132</v>
      </c>
      <c r="E66" s="308" t="s">
        <v>75</v>
      </c>
      <c r="F66" s="330">
        <f>263000+4560000+48800+30000</f>
        <v>4901800</v>
      </c>
      <c r="G66" s="330">
        <f>48800+263000</f>
        <v>311800</v>
      </c>
      <c r="H66" s="177">
        <f t="shared" si="4"/>
        <v>4590000</v>
      </c>
      <c r="I66" s="159">
        <f>947000+30000</f>
        <v>977000</v>
      </c>
      <c r="J66" s="57">
        <v>3613000</v>
      </c>
      <c r="K66" s="57"/>
      <c r="L66"/>
      <c r="M66"/>
      <c r="N66"/>
      <c r="O66"/>
    </row>
    <row r="67" spans="1:15" s="36" customFormat="1" ht="21" customHeight="1">
      <c r="A67" s="28"/>
      <c r="B67" s="210">
        <v>80120</v>
      </c>
      <c r="C67" s="88" t="s">
        <v>99</v>
      </c>
      <c r="D67" s="328"/>
      <c r="E67" s="329"/>
      <c r="F67" s="88"/>
      <c r="G67" s="211"/>
      <c r="H67" s="173">
        <f t="shared" si="4"/>
        <v>180000</v>
      </c>
      <c r="I67" s="211">
        <f>SUM(I68:I68)</f>
        <v>180000</v>
      </c>
      <c r="J67" s="211"/>
      <c r="K67" s="211"/>
      <c r="L67"/>
      <c r="M67"/>
      <c r="N67"/>
      <c r="O67"/>
    </row>
    <row r="68" spans="1:15" s="36" customFormat="1" ht="44.25" customHeight="1">
      <c r="A68" s="28"/>
      <c r="B68" s="210"/>
      <c r="C68" s="300" t="s">
        <v>180</v>
      </c>
      <c r="D68" s="202" t="s">
        <v>116</v>
      </c>
      <c r="E68" s="203">
        <v>2004</v>
      </c>
      <c r="F68" s="301">
        <v>180000</v>
      </c>
      <c r="G68" s="302"/>
      <c r="H68" s="177">
        <f>K68+J68+I68</f>
        <v>180000</v>
      </c>
      <c r="I68" s="303">
        <v>180000</v>
      </c>
      <c r="J68" s="304"/>
      <c r="K68" s="304"/>
      <c r="L68"/>
      <c r="M68"/>
      <c r="N68"/>
      <c r="O68"/>
    </row>
    <row r="69" spans="1:15" s="33" customFormat="1" ht="19.5" customHeight="1">
      <c r="A69" s="44"/>
      <c r="B69" s="78">
        <v>80130</v>
      </c>
      <c r="C69" s="46" t="s">
        <v>58</v>
      </c>
      <c r="D69" s="46"/>
      <c r="E69" s="250"/>
      <c r="F69" s="39"/>
      <c r="G69" s="128">
        <f>SUM(G70:G71)</f>
        <v>22005031</v>
      </c>
      <c r="H69" s="166">
        <f>I69+J69+K69</f>
        <v>11150000</v>
      </c>
      <c r="I69" s="149">
        <f>SUM(I70:I71)</f>
        <v>3000000</v>
      </c>
      <c r="J69" s="149">
        <f>SUM(J71:J71)</f>
        <v>8150000</v>
      </c>
      <c r="K69" s="149"/>
      <c r="L69"/>
      <c r="M69"/>
      <c r="N69"/>
      <c r="O69"/>
    </row>
    <row r="70" spans="1:15" s="324" customFormat="1" ht="18" customHeight="1">
      <c r="A70" s="322"/>
      <c r="B70" s="323"/>
      <c r="C70" s="331" t="s">
        <v>145</v>
      </c>
      <c r="D70" s="332" t="s">
        <v>154</v>
      </c>
      <c r="E70" s="333" t="s">
        <v>146</v>
      </c>
      <c r="F70" s="334">
        <v>11500000</v>
      </c>
      <c r="G70" s="335">
        <f>5973416+177000</f>
        <v>6150416</v>
      </c>
      <c r="H70" s="336">
        <f>SUM(I70:K70)</f>
        <v>500000</v>
      </c>
      <c r="I70" s="337">
        <v>500000</v>
      </c>
      <c r="J70" s="337"/>
      <c r="K70" s="337"/>
      <c r="L70" s="4"/>
      <c r="M70" s="4"/>
      <c r="N70" s="4"/>
      <c r="O70" s="4"/>
    </row>
    <row r="71" spans="1:15" s="36" customFormat="1" ht="26.25" customHeight="1">
      <c r="A71" s="40"/>
      <c r="B71" s="40"/>
      <c r="C71" s="58" t="s">
        <v>61</v>
      </c>
      <c r="D71" s="56" t="s">
        <v>181</v>
      </c>
      <c r="E71" s="59" t="s">
        <v>82</v>
      </c>
      <c r="F71" s="294">
        <v>35000000</v>
      </c>
      <c r="G71" s="139">
        <f>11921615+3933000</f>
        <v>15854615</v>
      </c>
      <c r="H71" s="176">
        <f>SUM(I71:K71)</f>
        <v>10650000</v>
      </c>
      <c r="I71" s="151">
        <f>2320000+180000</f>
        <v>2500000</v>
      </c>
      <c r="J71" s="151">
        <v>8150000</v>
      </c>
      <c r="K71" s="58"/>
      <c r="L71"/>
      <c r="M71"/>
      <c r="N71"/>
      <c r="O71"/>
    </row>
    <row r="72" spans="1:15" s="36" customFormat="1" ht="18.75" customHeight="1">
      <c r="A72" s="34">
        <v>851</v>
      </c>
      <c r="B72" s="34"/>
      <c r="C72" s="66" t="s">
        <v>35</v>
      </c>
      <c r="D72" s="72"/>
      <c r="E72" s="251"/>
      <c r="F72" s="155"/>
      <c r="G72" s="155"/>
      <c r="H72" s="170">
        <f aca="true" t="shared" si="5" ref="H72:H81">I72+J72+K72</f>
        <v>1400000</v>
      </c>
      <c r="I72" s="155">
        <f>I73</f>
        <v>1400000</v>
      </c>
      <c r="J72" s="155"/>
      <c r="K72" s="155"/>
      <c r="L72"/>
      <c r="M72"/>
      <c r="N72"/>
      <c r="O72"/>
    </row>
    <row r="73" spans="1:15" s="36" customFormat="1" ht="21" customHeight="1">
      <c r="A73" s="28" t="s">
        <v>97</v>
      </c>
      <c r="B73" s="210">
        <v>85154</v>
      </c>
      <c r="C73" s="233" t="s">
        <v>118</v>
      </c>
      <c r="D73" s="93"/>
      <c r="E73" s="115"/>
      <c r="F73" s="211"/>
      <c r="G73" s="211"/>
      <c r="H73" s="166">
        <f t="shared" si="5"/>
        <v>1400000</v>
      </c>
      <c r="I73" s="211">
        <f>SUM(I74:I74)</f>
        <v>1400000</v>
      </c>
      <c r="J73" s="211"/>
      <c r="K73" s="211"/>
      <c r="L73"/>
      <c r="M73"/>
      <c r="N73"/>
      <c r="O73"/>
    </row>
    <row r="74" spans="1:15" s="36" customFormat="1" ht="19.5" customHeight="1">
      <c r="A74" s="28"/>
      <c r="B74" s="47"/>
      <c r="C74" s="48" t="s">
        <v>101</v>
      </c>
      <c r="D74" s="70" t="s">
        <v>193</v>
      </c>
      <c r="E74" s="191">
        <v>2004</v>
      </c>
      <c r="F74" s="51"/>
      <c r="G74" s="134"/>
      <c r="H74" s="168">
        <f t="shared" si="5"/>
        <v>1400000</v>
      </c>
      <c r="I74" s="150">
        <v>1400000</v>
      </c>
      <c r="J74" s="150"/>
      <c r="K74" s="150"/>
      <c r="L74"/>
      <c r="M74"/>
      <c r="N74"/>
      <c r="O74"/>
    </row>
    <row r="75" spans="1:15" s="36" customFormat="1" ht="19.5" customHeight="1">
      <c r="A75" s="34">
        <v>852</v>
      </c>
      <c r="B75" s="34"/>
      <c r="C75" s="66" t="s">
        <v>103</v>
      </c>
      <c r="D75" s="72"/>
      <c r="E75" s="251"/>
      <c r="F75" s="155"/>
      <c r="G75" s="155"/>
      <c r="H75" s="170">
        <f t="shared" si="5"/>
        <v>860000</v>
      </c>
      <c r="I75" s="232">
        <f>I76+I78</f>
        <v>860000</v>
      </c>
      <c r="J75" s="232"/>
      <c r="K75" s="232"/>
      <c r="L75"/>
      <c r="M75"/>
      <c r="N75"/>
      <c r="O75"/>
    </row>
    <row r="76" spans="1:15" s="33" customFormat="1" ht="19.5" customHeight="1">
      <c r="A76" s="44"/>
      <c r="B76" s="31">
        <v>85202</v>
      </c>
      <c r="C76" s="65" t="s">
        <v>37</v>
      </c>
      <c r="D76" s="74"/>
      <c r="E76" s="252"/>
      <c r="F76" s="157"/>
      <c r="G76" s="157"/>
      <c r="H76" s="173">
        <f t="shared" si="5"/>
        <v>160000</v>
      </c>
      <c r="I76" s="157">
        <f>SUM(I77:I77)</f>
        <v>160000</v>
      </c>
      <c r="J76" s="157"/>
      <c r="K76" s="157"/>
      <c r="L76"/>
      <c r="M76"/>
      <c r="N76"/>
      <c r="O76"/>
    </row>
    <row r="77" spans="1:15" s="102" customFormat="1" ht="24" customHeight="1">
      <c r="A77" s="28"/>
      <c r="B77" s="47"/>
      <c r="C77" s="287" t="s">
        <v>36</v>
      </c>
      <c r="D77" s="298" t="s">
        <v>162</v>
      </c>
      <c r="E77" s="299">
        <v>2004</v>
      </c>
      <c r="F77" s="287"/>
      <c r="G77" s="284"/>
      <c r="H77" s="285">
        <f t="shared" si="5"/>
        <v>160000</v>
      </c>
      <c r="I77" s="286">
        <v>160000</v>
      </c>
      <c r="J77" s="287"/>
      <c r="K77" s="287"/>
      <c r="L77"/>
      <c r="M77"/>
      <c r="N77"/>
      <c r="O77"/>
    </row>
    <row r="78" spans="1:15" s="30" customFormat="1" ht="21.75" customHeight="1">
      <c r="A78" s="28"/>
      <c r="B78" s="38">
        <v>85203</v>
      </c>
      <c r="C78" s="39" t="s">
        <v>59</v>
      </c>
      <c r="D78" s="67"/>
      <c r="E78" s="199"/>
      <c r="F78" s="43"/>
      <c r="G78" s="161"/>
      <c r="H78" s="179">
        <f t="shared" si="5"/>
        <v>700000</v>
      </c>
      <c r="I78" s="161">
        <f>SUM(I79:I79)</f>
        <v>700000</v>
      </c>
      <c r="J78" s="161"/>
      <c r="K78" s="161"/>
      <c r="L78"/>
      <c r="M78"/>
      <c r="N78"/>
      <c r="O78"/>
    </row>
    <row r="79" spans="1:15" s="30" customFormat="1" ht="24" customHeight="1">
      <c r="A79" s="28"/>
      <c r="B79" s="47"/>
      <c r="C79" s="287" t="s">
        <v>112</v>
      </c>
      <c r="D79" s="298" t="s">
        <v>141</v>
      </c>
      <c r="E79" s="299">
        <v>2004</v>
      </c>
      <c r="F79" s="287"/>
      <c r="G79" s="284"/>
      <c r="H79" s="285">
        <f t="shared" si="5"/>
        <v>700000</v>
      </c>
      <c r="I79" s="286">
        <v>700000</v>
      </c>
      <c r="J79" s="286"/>
      <c r="K79" s="286"/>
      <c r="L79"/>
      <c r="M79"/>
      <c r="N79"/>
      <c r="O79"/>
    </row>
    <row r="80" spans="1:15" s="36" customFormat="1" ht="29.25" customHeight="1">
      <c r="A80" s="107">
        <v>900</v>
      </c>
      <c r="B80" s="34"/>
      <c r="C80" s="72" t="s">
        <v>38</v>
      </c>
      <c r="D80" s="72"/>
      <c r="E80" s="251"/>
      <c r="F80" s="66"/>
      <c r="G80" s="155">
        <f>G81+G88+G91</f>
        <v>23035066</v>
      </c>
      <c r="H80" s="170">
        <f t="shared" si="5"/>
        <v>7182000</v>
      </c>
      <c r="I80" s="155">
        <f>I81+I88+I91</f>
        <v>6982000</v>
      </c>
      <c r="J80" s="155">
        <f>J81+J88+J91</f>
        <v>200000</v>
      </c>
      <c r="K80" s="155"/>
      <c r="L80"/>
      <c r="M80"/>
      <c r="N80"/>
      <c r="O80"/>
    </row>
    <row r="81" spans="1:15" s="33" customFormat="1" ht="21" customHeight="1">
      <c r="A81" s="44"/>
      <c r="B81" s="79">
        <v>90001</v>
      </c>
      <c r="C81" s="74" t="s">
        <v>39</v>
      </c>
      <c r="D81" s="74"/>
      <c r="E81" s="252"/>
      <c r="F81" s="65"/>
      <c r="G81" s="157">
        <f>SUM(G82:G86)</f>
        <v>2614581</v>
      </c>
      <c r="H81" s="173">
        <f t="shared" si="5"/>
        <v>782000</v>
      </c>
      <c r="I81" s="157">
        <f>SUM(I82:I87)</f>
        <v>682000</v>
      </c>
      <c r="J81" s="65">
        <f>SUM(J82:J86)</f>
        <v>100000</v>
      </c>
      <c r="K81" s="65"/>
      <c r="L81"/>
      <c r="M81"/>
      <c r="N81"/>
      <c r="O81"/>
    </row>
    <row r="82" spans="1:15" s="36" customFormat="1" ht="24" customHeight="1">
      <c r="A82" s="28"/>
      <c r="B82" s="28"/>
      <c r="C82" s="52" t="s">
        <v>163</v>
      </c>
      <c r="D82" s="62" t="s">
        <v>203</v>
      </c>
      <c r="E82" s="49" t="s">
        <v>113</v>
      </c>
      <c r="F82" s="267">
        <v>1000000</v>
      </c>
      <c r="G82" s="135">
        <f>23790+265000</f>
        <v>288790</v>
      </c>
      <c r="H82" s="171">
        <v>112000</v>
      </c>
      <c r="I82" s="152">
        <v>112000</v>
      </c>
      <c r="J82" s="55"/>
      <c r="K82" s="55"/>
      <c r="L82"/>
      <c r="M82"/>
      <c r="N82"/>
      <c r="O82"/>
    </row>
    <row r="83" spans="1:15" s="36" customFormat="1" ht="18.75" customHeight="1">
      <c r="A83" s="28"/>
      <c r="B83" s="28"/>
      <c r="C83" s="52" t="s">
        <v>73</v>
      </c>
      <c r="D83" s="62" t="s">
        <v>194</v>
      </c>
      <c r="E83" s="49" t="s">
        <v>79</v>
      </c>
      <c r="F83" s="267">
        <v>68000</v>
      </c>
      <c r="G83" s="135">
        <v>50000</v>
      </c>
      <c r="H83" s="171">
        <f>I83+J83</f>
        <v>18000</v>
      </c>
      <c r="I83" s="152">
        <v>18000</v>
      </c>
      <c r="J83" s="55"/>
      <c r="K83" s="55"/>
      <c r="L83"/>
      <c r="M83"/>
      <c r="N83"/>
      <c r="O83"/>
    </row>
    <row r="84" spans="1:15" s="30" customFormat="1" ht="41.25" customHeight="1">
      <c r="A84" s="28"/>
      <c r="B84" s="28"/>
      <c r="C84" s="52" t="s">
        <v>164</v>
      </c>
      <c r="D84" s="62" t="s">
        <v>195</v>
      </c>
      <c r="E84" s="49" t="s">
        <v>114</v>
      </c>
      <c r="F84" s="267">
        <v>8100000</v>
      </c>
      <c r="G84" s="135">
        <v>2125791</v>
      </c>
      <c r="H84" s="171">
        <v>400000</v>
      </c>
      <c r="I84" s="152">
        <v>400000</v>
      </c>
      <c r="J84" s="55"/>
      <c r="K84" s="55"/>
      <c r="L84"/>
      <c r="M84"/>
      <c r="N84"/>
      <c r="O84"/>
    </row>
    <row r="85" spans="1:15" s="30" customFormat="1" ht="27.75" customHeight="1">
      <c r="A85" s="28"/>
      <c r="B85" s="28"/>
      <c r="C85" s="52" t="s">
        <v>134</v>
      </c>
      <c r="D85" s="62" t="s">
        <v>194</v>
      </c>
      <c r="E85" s="49" t="s">
        <v>79</v>
      </c>
      <c r="F85" s="267">
        <v>387000</v>
      </c>
      <c r="G85" s="135">
        <v>100000</v>
      </c>
      <c r="H85" s="171">
        <f>I85+J85</f>
        <v>117000</v>
      </c>
      <c r="I85" s="152">
        <v>117000</v>
      </c>
      <c r="J85" s="55"/>
      <c r="K85" s="55"/>
      <c r="L85"/>
      <c r="M85"/>
      <c r="N85"/>
      <c r="O85"/>
    </row>
    <row r="86" spans="1:15" s="36" customFormat="1" ht="27.75" customHeight="1">
      <c r="A86" s="28"/>
      <c r="B86" s="28"/>
      <c r="C86" s="290" t="s">
        <v>102</v>
      </c>
      <c r="D86" s="116" t="s">
        <v>171</v>
      </c>
      <c r="E86" s="117" t="s">
        <v>75</v>
      </c>
      <c r="F86" s="291">
        <v>153000</v>
      </c>
      <c r="G86" s="292">
        <v>50000</v>
      </c>
      <c r="H86" s="167">
        <f>I86+J86</f>
        <v>103000</v>
      </c>
      <c r="I86" s="153">
        <v>3000</v>
      </c>
      <c r="J86" s="86">
        <v>100000</v>
      </c>
      <c r="K86" s="86"/>
      <c r="L86"/>
      <c r="M86"/>
      <c r="N86"/>
      <c r="O86"/>
    </row>
    <row r="87" spans="1:15" s="36" customFormat="1" ht="18" customHeight="1">
      <c r="A87" s="28"/>
      <c r="B87" s="40"/>
      <c r="C87" s="95" t="s">
        <v>135</v>
      </c>
      <c r="D87" s="202"/>
      <c r="E87" s="293"/>
      <c r="F87" s="63"/>
      <c r="G87" s="266"/>
      <c r="H87" s="177">
        <f>I87+J87+K87</f>
        <v>32000</v>
      </c>
      <c r="I87" s="159">
        <v>32000</v>
      </c>
      <c r="J87" s="57"/>
      <c r="K87" s="57"/>
      <c r="L87"/>
      <c r="M87"/>
      <c r="N87"/>
      <c r="O87"/>
    </row>
    <row r="88" spans="1:15" s="33" customFormat="1" ht="20.25" customHeight="1">
      <c r="A88" s="44"/>
      <c r="B88" s="38">
        <v>90002</v>
      </c>
      <c r="C88" s="65" t="s">
        <v>196</v>
      </c>
      <c r="D88" s="222"/>
      <c r="E88" s="64"/>
      <c r="F88" s="100"/>
      <c r="G88" s="149">
        <f>SUM(G89:G89)</f>
        <v>20420485</v>
      </c>
      <c r="H88" s="166">
        <f>I88+J88+K88</f>
        <v>900000</v>
      </c>
      <c r="I88" s="149">
        <f>SUM(I89:I90)</f>
        <v>900000</v>
      </c>
      <c r="J88" s="149"/>
      <c r="K88" s="149"/>
      <c r="L88"/>
      <c r="M88"/>
      <c r="N88"/>
      <c r="O88"/>
    </row>
    <row r="89" spans="1:15" s="118" customFormat="1" ht="36.75" customHeight="1">
      <c r="A89" s="28"/>
      <c r="B89" s="47"/>
      <c r="C89" s="280" t="s">
        <v>68</v>
      </c>
      <c r="D89" s="281" t="s">
        <v>115</v>
      </c>
      <c r="E89" s="282" t="s">
        <v>138</v>
      </c>
      <c r="F89" s="283">
        <v>30000000</v>
      </c>
      <c r="G89" s="284">
        <f>19764485+656000</f>
        <v>20420485</v>
      </c>
      <c r="H89" s="285">
        <v>500000</v>
      </c>
      <c r="I89" s="286">
        <v>500000</v>
      </c>
      <c r="J89" s="287"/>
      <c r="K89" s="287"/>
      <c r="L89"/>
      <c r="M89"/>
      <c r="N89"/>
      <c r="O89"/>
    </row>
    <row r="90" spans="1:15" s="30" customFormat="1" ht="28.5" customHeight="1">
      <c r="A90" s="28"/>
      <c r="B90" s="28"/>
      <c r="C90" s="85" t="s">
        <v>137</v>
      </c>
      <c r="D90" s="116" t="s">
        <v>197</v>
      </c>
      <c r="E90" s="117" t="s">
        <v>182</v>
      </c>
      <c r="F90" s="288">
        <v>70000000</v>
      </c>
      <c r="G90" s="289"/>
      <c r="H90" s="167">
        <v>400000</v>
      </c>
      <c r="I90" s="153">
        <v>400000</v>
      </c>
      <c r="J90" s="153"/>
      <c r="K90" s="153"/>
      <c r="L90"/>
      <c r="M90"/>
      <c r="N90"/>
      <c r="O90"/>
    </row>
    <row r="91" spans="1:15" s="33" customFormat="1" ht="21" customHeight="1">
      <c r="A91" s="44"/>
      <c r="B91" s="38">
        <v>90095</v>
      </c>
      <c r="C91" s="39" t="s">
        <v>22</v>
      </c>
      <c r="D91" s="67"/>
      <c r="E91" s="64"/>
      <c r="F91" s="100"/>
      <c r="G91" s="149"/>
      <c r="H91" s="166">
        <f>I91+J91+K91</f>
        <v>5500000</v>
      </c>
      <c r="I91" s="149">
        <f>SUM(I92:I95)</f>
        <v>5400000</v>
      </c>
      <c r="J91" s="39">
        <f>SUM(J92:J95)</f>
        <v>100000</v>
      </c>
      <c r="K91" s="39"/>
      <c r="L91"/>
      <c r="M91"/>
      <c r="N91"/>
      <c r="O91"/>
    </row>
    <row r="92" spans="1:15" s="36" customFormat="1" ht="21" customHeight="1">
      <c r="A92" s="28"/>
      <c r="B92" s="47"/>
      <c r="C92" s="51" t="s">
        <v>40</v>
      </c>
      <c r="D92" s="70"/>
      <c r="E92" s="279">
        <v>2004</v>
      </c>
      <c r="F92" s="84"/>
      <c r="G92" s="134"/>
      <c r="H92" s="168">
        <v>2000000</v>
      </c>
      <c r="I92" s="150">
        <v>2000000</v>
      </c>
      <c r="J92" s="51"/>
      <c r="K92" s="51"/>
      <c r="L92"/>
      <c r="M92"/>
      <c r="N92"/>
      <c r="O92"/>
    </row>
    <row r="93" spans="1:15" s="36" customFormat="1" ht="29.25" customHeight="1">
      <c r="A93" s="28"/>
      <c r="B93" s="28"/>
      <c r="C93" s="52" t="s">
        <v>42</v>
      </c>
      <c r="D93" s="94"/>
      <c r="E93" s="274">
        <v>2004</v>
      </c>
      <c r="F93" s="54"/>
      <c r="G93" s="135"/>
      <c r="H93" s="171">
        <f>I93+J93+K93</f>
        <v>1500000</v>
      </c>
      <c r="I93" s="152">
        <v>1400000</v>
      </c>
      <c r="J93" s="55">
        <v>100000</v>
      </c>
      <c r="K93" s="55"/>
      <c r="L93"/>
      <c r="M93"/>
      <c r="N93"/>
      <c r="O93"/>
    </row>
    <row r="94" spans="1:15" s="36" customFormat="1" ht="30" customHeight="1">
      <c r="A94" s="28"/>
      <c r="B94" s="28"/>
      <c r="C94" s="52" t="s">
        <v>41</v>
      </c>
      <c r="D94" s="94"/>
      <c r="E94" s="274">
        <v>2004</v>
      </c>
      <c r="F94" s="54"/>
      <c r="G94" s="135"/>
      <c r="H94" s="171">
        <v>1000000</v>
      </c>
      <c r="I94" s="152">
        <v>1000000</v>
      </c>
      <c r="J94" s="55"/>
      <c r="K94" s="55"/>
      <c r="L94"/>
      <c r="M94"/>
      <c r="N94"/>
      <c r="O94"/>
    </row>
    <row r="95" spans="1:15" s="36" customFormat="1" ht="20.25" customHeight="1">
      <c r="A95" s="40"/>
      <c r="B95" s="40"/>
      <c r="C95" s="69" t="s">
        <v>43</v>
      </c>
      <c r="D95" s="93"/>
      <c r="E95" s="313">
        <v>2004</v>
      </c>
      <c r="F95" s="314"/>
      <c r="G95" s="136"/>
      <c r="H95" s="172">
        <f>I95+J95+K95</f>
        <v>1000000</v>
      </c>
      <c r="I95" s="156">
        <v>1000000</v>
      </c>
      <c r="J95" s="69"/>
      <c r="K95" s="69"/>
      <c r="L95"/>
      <c r="M95"/>
      <c r="N95"/>
      <c r="O95"/>
    </row>
    <row r="96" spans="1:15" s="36" customFormat="1" ht="20.25" customHeight="1">
      <c r="A96" s="107">
        <v>921</v>
      </c>
      <c r="B96" s="34"/>
      <c r="C96" s="72" t="s">
        <v>44</v>
      </c>
      <c r="D96" s="219"/>
      <c r="E96" s="251"/>
      <c r="F96" s="66"/>
      <c r="G96" s="155">
        <f>G97+G101+G99</f>
        <v>1227264</v>
      </c>
      <c r="H96" s="170">
        <f>I96+J96+K96</f>
        <v>665000</v>
      </c>
      <c r="I96" s="155">
        <f>I97+I99+I101</f>
        <v>665000</v>
      </c>
      <c r="J96" s="155"/>
      <c r="K96" s="155"/>
      <c r="L96"/>
      <c r="M96"/>
      <c r="N96"/>
      <c r="O96"/>
    </row>
    <row r="97" spans="1:15" s="33" customFormat="1" ht="21.75" customHeight="1">
      <c r="A97" s="44"/>
      <c r="B97" s="79">
        <v>92105</v>
      </c>
      <c r="C97" s="74" t="s">
        <v>45</v>
      </c>
      <c r="D97" s="220"/>
      <c r="E97" s="252"/>
      <c r="F97" s="65"/>
      <c r="G97" s="137"/>
      <c r="H97" s="173">
        <f>I97+J97+K97</f>
        <v>30000</v>
      </c>
      <c r="I97" s="157">
        <f>I98</f>
        <v>30000</v>
      </c>
      <c r="J97" s="157"/>
      <c r="K97" s="157"/>
      <c r="L97"/>
      <c r="M97"/>
      <c r="N97"/>
      <c r="O97"/>
    </row>
    <row r="98" spans="1:15" s="36" customFormat="1" ht="21.75" customHeight="1">
      <c r="A98" s="28"/>
      <c r="B98" s="41"/>
      <c r="C98" s="43" t="s">
        <v>27</v>
      </c>
      <c r="D98" s="104" t="s">
        <v>142</v>
      </c>
      <c r="E98" s="82">
        <v>2004</v>
      </c>
      <c r="F98" s="83"/>
      <c r="G98" s="140"/>
      <c r="H98" s="174">
        <f>I98+J98+K98</f>
        <v>30000</v>
      </c>
      <c r="I98" s="158">
        <v>30000</v>
      </c>
      <c r="J98" s="43"/>
      <c r="K98" s="43"/>
      <c r="L98"/>
      <c r="M98"/>
      <c r="N98"/>
      <c r="O98"/>
    </row>
    <row r="99" spans="1:15" s="33" customFormat="1" ht="21" customHeight="1">
      <c r="A99" s="44"/>
      <c r="B99" s="79">
        <v>92113</v>
      </c>
      <c r="C99" s="74" t="s">
        <v>94</v>
      </c>
      <c r="D99" s="220"/>
      <c r="E99" s="252"/>
      <c r="F99" s="65"/>
      <c r="G99" s="157"/>
      <c r="H99" s="173">
        <f>H100</f>
        <v>500000</v>
      </c>
      <c r="I99" s="157">
        <f>I100</f>
        <v>500000</v>
      </c>
      <c r="J99" s="157"/>
      <c r="K99" s="157"/>
      <c r="L99"/>
      <c r="M99"/>
      <c r="N99"/>
      <c r="O99"/>
    </row>
    <row r="100" spans="1:15" s="36" customFormat="1" ht="30" customHeight="1">
      <c r="A100" s="28"/>
      <c r="B100" s="41"/>
      <c r="C100" s="207" t="s">
        <v>136</v>
      </c>
      <c r="D100" s="104" t="s">
        <v>183</v>
      </c>
      <c r="E100" s="82" t="s">
        <v>133</v>
      </c>
      <c r="F100" s="83">
        <v>9030000</v>
      </c>
      <c r="G100" s="140"/>
      <c r="H100" s="174">
        <f aca="true" t="shared" si="6" ref="H100:H111">I100+J100+K100</f>
        <v>500000</v>
      </c>
      <c r="I100" s="158">
        <v>500000</v>
      </c>
      <c r="J100" s="43"/>
      <c r="K100" s="43"/>
      <c r="L100"/>
      <c r="M100"/>
      <c r="N100"/>
      <c r="O100"/>
    </row>
    <row r="101" spans="1:15" s="33" customFormat="1" ht="21.75" customHeight="1">
      <c r="A101" s="44"/>
      <c r="B101" s="79">
        <v>92120</v>
      </c>
      <c r="C101" s="74" t="s">
        <v>46</v>
      </c>
      <c r="D101" s="220"/>
      <c r="E101" s="252"/>
      <c r="F101" s="65"/>
      <c r="G101" s="157">
        <f>SUM(G102:G103)</f>
        <v>1227264</v>
      </c>
      <c r="H101" s="173">
        <f t="shared" si="6"/>
        <v>135000</v>
      </c>
      <c r="I101" s="157">
        <f>SUM(I102:I103)</f>
        <v>135000</v>
      </c>
      <c r="J101" s="157"/>
      <c r="K101" s="157"/>
      <c r="L101"/>
      <c r="M101"/>
      <c r="N101"/>
      <c r="O101"/>
    </row>
    <row r="102" spans="1:15" s="36" customFormat="1" ht="19.5" customHeight="1">
      <c r="A102" s="28"/>
      <c r="B102" s="28"/>
      <c r="C102" s="58" t="s">
        <v>47</v>
      </c>
      <c r="D102" s="62" t="s">
        <v>121</v>
      </c>
      <c r="E102" s="49" t="s">
        <v>83</v>
      </c>
      <c r="F102" s="50">
        <v>1266356</v>
      </c>
      <c r="G102" s="130">
        <f>700356+516000</f>
        <v>1216356</v>
      </c>
      <c r="H102" s="176">
        <f t="shared" si="6"/>
        <v>50000</v>
      </c>
      <c r="I102" s="151">
        <v>50000</v>
      </c>
      <c r="J102" s="58"/>
      <c r="K102" s="58"/>
      <c r="L102"/>
      <c r="M102"/>
      <c r="N102"/>
      <c r="O102"/>
    </row>
    <row r="103" spans="1:15" s="36" customFormat="1" ht="20.25" customHeight="1">
      <c r="A103" s="28"/>
      <c r="B103" s="28"/>
      <c r="C103" s="80" t="s">
        <v>87</v>
      </c>
      <c r="D103" s="56" t="s">
        <v>184</v>
      </c>
      <c r="E103" s="59" t="s">
        <v>122</v>
      </c>
      <c r="F103" s="60">
        <v>135000</v>
      </c>
      <c r="G103" s="132">
        <f>10908+0</f>
        <v>10908</v>
      </c>
      <c r="H103" s="176">
        <f t="shared" si="6"/>
        <v>85000</v>
      </c>
      <c r="I103" s="151">
        <v>85000</v>
      </c>
      <c r="J103" s="58"/>
      <c r="K103" s="58"/>
      <c r="L103"/>
      <c r="M103"/>
      <c r="N103"/>
      <c r="O103"/>
    </row>
    <row r="104" spans="1:15" s="36" customFormat="1" ht="21.75" customHeight="1">
      <c r="A104" s="34">
        <v>926</v>
      </c>
      <c r="B104" s="34"/>
      <c r="C104" s="66" t="s">
        <v>48</v>
      </c>
      <c r="D104" s="223"/>
      <c r="E104" s="87"/>
      <c r="F104" s="101"/>
      <c r="G104" s="133">
        <f>G105+G107+G109</f>
        <v>17671909</v>
      </c>
      <c r="H104" s="170">
        <f t="shared" si="6"/>
        <v>5370000</v>
      </c>
      <c r="I104" s="66">
        <f>I105+I107+I109</f>
        <v>5270000</v>
      </c>
      <c r="J104" s="66">
        <f>J105+J107+J109</f>
        <v>100000</v>
      </c>
      <c r="K104" s="66"/>
      <c r="L104"/>
      <c r="M104"/>
      <c r="N104"/>
      <c r="O104"/>
    </row>
    <row r="105" spans="1:15" s="33" customFormat="1" ht="21.75" customHeight="1">
      <c r="A105" s="44"/>
      <c r="B105" s="31">
        <v>92601</v>
      </c>
      <c r="C105" s="65" t="s">
        <v>49</v>
      </c>
      <c r="D105" s="93"/>
      <c r="E105" s="81"/>
      <c r="F105" s="88"/>
      <c r="G105" s="65"/>
      <c r="H105" s="173">
        <f t="shared" si="6"/>
        <v>120000</v>
      </c>
      <c r="I105" s="65">
        <f>I106</f>
        <v>120000</v>
      </c>
      <c r="J105" s="65"/>
      <c r="K105" s="65"/>
      <c r="L105"/>
      <c r="M105"/>
      <c r="N105"/>
      <c r="O105"/>
    </row>
    <row r="106" spans="1:15" s="36" customFormat="1" ht="21.75" customHeight="1">
      <c r="A106" s="28"/>
      <c r="B106" s="40"/>
      <c r="C106" s="57" t="s">
        <v>50</v>
      </c>
      <c r="D106" s="202" t="s">
        <v>198</v>
      </c>
      <c r="E106" s="203">
        <v>2004</v>
      </c>
      <c r="F106" s="63"/>
      <c r="G106" s="141"/>
      <c r="H106" s="177">
        <f t="shared" si="6"/>
        <v>120000</v>
      </c>
      <c r="I106" s="159">
        <v>120000</v>
      </c>
      <c r="J106" s="57"/>
      <c r="K106" s="57"/>
      <c r="L106"/>
      <c r="M106"/>
      <c r="N106"/>
      <c r="O106"/>
    </row>
    <row r="107" spans="1:15" s="33" customFormat="1" ht="21.75" customHeight="1">
      <c r="A107" s="44"/>
      <c r="B107" s="31">
        <v>92604</v>
      </c>
      <c r="C107" s="65" t="s">
        <v>51</v>
      </c>
      <c r="D107" s="93"/>
      <c r="E107" s="81"/>
      <c r="F107" s="88"/>
      <c r="G107" s="157">
        <f>SUM(G108:G108)</f>
        <v>17551909</v>
      </c>
      <c r="H107" s="173">
        <f t="shared" si="6"/>
        <v>5100000</v>
      </c>
      <c r="I107" s="157">
        <f>SUM(I108:I108)</f>
        <v>5000000</v>
      </c>
      <c r="J107" s="157">
        <f>SUM(J108:J108)</f>
        <v>100000</v>
      </c>
      <c r="K107" s="157"/>
      <c r="L107"/>
      <c r="M107"/>
      <c r="N107"/>
      <c r="O107"/>
    </row>
    <row r="108" spans="1:15" s="36" customFormat="1" ht="45" customHeight="1">
      <c r="A108" s="28"/>
      <c r="B108" s="47"/>
      <c r="C108" s="296" t="s">
        <v>165</v>
      </c>
      <c r="D108" s="281" t="s">
        <v>143</v>
      </c>
      <c r="E108" s="282" t="s">
        <v>76</v>
      </c>
      <c r="F108" s="283">
        <v>30000000</v>
      </c>
      <c r="G108" s="297">
        <f>11021909+6530000</f>
        <v>17551909</v>
      </c>
      <c r="H108" s="285">
        <f t="shared" si="6"/>
        <v>5100000</v>
      </c>
      <c r="I108" s="286">
        <v>5000000</v>
      </c>
      <c r="J108" s="287">
        <v>100000</v>
      </c>
      <c r="K108" s="287"/>
      <c r="L108"/>
      <c r="M108"/>
      <c r="N108"/>
      <c r="O108"/>
    </row>
    <row r="109" spans="1:15" s="33" customFormat="1" ht="30" customHeight="1">
      <c r="A109" s="44"/>
      <c r="B109" s="78">
        <v>92605</v>
      </c>
      <c r="C109" s="46" t="s">
        <v>95</v>
      </c>
      <c r="D109" s="218"/>
      <c r="E109" s="250"/>
      <c r="F109" s="39"/>
      <c r="G109" s="149">
        <f>G110</f>
        <v>120000</v>
      </c>
      <c r="H109" s="166">
        <f t="shared" si="6"/>
        <v>150000</v>
      </c>
      <c r="I109" s="149">
        <f>SUM(I110)</f>
        <v>150000</v>
      </c>
      <c r="J109" s="39"/>
      <c r="K109" s="39"/>
      <c r="L109"/>
      <c r="M109"/>
      <c r="N109"/>
      <c r="O109"/>
    </row>
    <row r="110" spans="1:15" s="36" customFormat="1" ht="29.25" customHeight="1">
      <c r="A110" s="28"/>
      <c r="B110" s="47"/>
      <c r="C110" s="42" t="s">
        <v>205</v>
      </c>
      <c r="D110" s="67" t="s">
        <v>204</v>
      </c>
      <c r="E110" s="190" t="s">
        <v>88</v>
      </c>
      <c r="F110" s="43">
        <v>570000</v>
      </c>
      <c r="G110" s="138">
        <v>120000</v>
      </c>
      <c r="H110" s="174">
        <f t="shared" si="6"/>
        <v>150000</v>
      </c>
      <c r="I110" s="158">
        <v>150000</v>
      </c>
      <c r="J110" s="43"/>
      <c r="K110" s="43"/>
      <c r="L110"/>
      <c r="M110"/>
      <c r="N110"/>
      <c r="O110"/>
    </row>
    <row r="111" spans="1:15" s="36" customFormat="1" ht="35.25" customHeight="1" hidden="1" thickBot="1">
      <c r="A111" s="40"/>
      <c r="B111" s="40"/>
      <c r="C111" s="208" t="s">
        <v>89</v>
      </c>
      <c r="D111" s="192"/>
      <c r="E111" s="193"/>
      <c r="F111" s="194"/>
      <c r="G111" s="196">
        <f>SUM(G112,G115)</f>
        <v>0</v>
      </c>
      <c r="H111" s="195">
        <f t="shared" si="6"/>
        <v>0</v>
      </c>
      <c r="I111" s="196">
        <f>SUM(I112,I115)</f>
        <v>0</v>
      </c>
      <c r="J111" s="196">
        <f>SUM(J112,J115)</f>
        <v>0</v>
      </c>
      <c r="K111" s="196">
        <f>SUM(K112,K115)</f>
        <v>0</v>
      </c>
      <c r="L111"/>
      <c r="M111"/>
      <c r="N111"/>
      <c r="O111"/>
    </row>
    <row r="112" spans="1:15" s="36" customFormat="1" ht="30" customHeight="1" hidden="1" thickTop="1">
      <c r="A112" s="71">
        <v>754</v>
      </c>
      <c r="B112" s="34"/>
      <c r="C112" s="72" t="s">
        <v>30</v>
      </c>
      <c r="D112" s="241"/>
      <c r="E112" s="242"/>
      <c r="F112" s="243"/>
      <c r="G112" s="244"/>
      <c r="H112" s="245"/>
      <c r="I112" s="240"/>
      <c r="J112" s="240"/>
      <c r="K112" s="240"/>
      <c r="L112"/>
      <c r="M112"/>
      <c r="N112"/>
      <c r="O112"/>
    </row>
    <row r="113" spans="1:15" s="36" customFormat="1" ht="29.25" customHeight="1" hidden="1">
      <c r="A113" s="28"/>
      <c r="B113" s="73">
        <v>75411</v>
      </c>
      <c r="C113" s="74" t="s">
        <v>31</v>
      </c>
      <c r="D113" s="197"/>
      <c r="E113" s="198"/>
      <c r="F113" s="100"/>
      <c r="G113" s="144"/>
      <c r="H113" s="179"/>
      <c r="I113" s="161"/>
      <c r="J113" s="161"/>
      <c r="K113" s="161"/>
      <c r="L113"/>
      <c r="M113"/>
      <c r="N113"/>
      <c r="O113"/>
    </row>
    <row r="114" spans="1:15" s="36" customFormat="1" ht="28.5" customHeight="1" hidden="1">
      <c r="A114" s="40"/>
      <c r="B114" s="41"/>
      <c r="C114" s="42" t="s">
        <v>117</v>
      </c>
      <c r="D114" s="235"/>
      <c r="E114" s="236"/>
      <c r="F114" s="237"/>
      <c r="G114" s="238"/>
      <c r="H114" s="239"/>
      <c r="I114" s="234"/>
      <c r="J114" s="234"/>
      <c r="K114" s="234"/>
      <c r="L114"/>
      <c r="M114"/>
      <c r="N114"/>
      <c r="O114"/>
    </row>
    <row r="115" spans="1:15" s="36" customFormat="1" ht="30" customHeight="1" hidden="1">
      <c r="A115" s="75">
        <v>900</v>
      </c>
      <c r="B115" s="76"/>
      <c r="C115" s="77" t="s">
        <v>38</v>
      </c>
      <c r="D115" s="72"/>
      <c r="E115" s="251"/>
      <c r="F115" s="66"/>
      <c r="G115" s="133"/>
      <c r="H115" s="170">
        <f>I115+J115+K115</f>
        <v>0</v>
      </c>
      <c r="I115" s="155">
        <f>I116</f>
        <v>0</v>
      </c>
      <c r="J115" s="155">
        <f>J116</f>
        <v>0</v>
      </c>
      <c r="K115" s="155">
        <f>K116</f>
        <v>0</v>
      </c>
      <c r="L115"/>
      <c r="M115"/>
      <c r="N115"/>
      <c r="O115"/>
    </row>
    <row r="116" spans="1:15" s="36" customFormat="1" ht="21.75" customHeight="1" hidden="1">
      <c r="A116" s="28"/>
      <c r="B116" s="121">
        <v>90003</v>
      </c>
      <c r="C116" s="122" t="s">
        <v>60</v>
      </c>
      <c r="D116" s="197"/>
      <c r="E116" s="198"/>
      <c r="F116" s="100"/>
      <c r="G116" s="144"/>
      <c r="H116" s="179">
        <f>I116+J116+K116</f>
        <v>0</v>
      </c>
      <c r="I116" s="161">
        <f>I117</f>
        <v>0</v>
      </c>
      <c r="J116" s="161"/>
      <c r="K116" s="161">
        <f>K117</f>
        <v>0</v>
      </c>
      <c r="L116"/>
      <c r="M116"/>
      <c r="N116"/>
      <c r="O116"/>
    </row>
    <row r="117" spans="1:15" s="36" customFormat="1" ht="28.5" customHeight="1" hidden="1">
      <c r="A117" s="28"/>
      <c r="B117" s="28"/>
      <c r="C117" s="68" t="s">
        <v>96</v>
      </c>
      <c r="D117" s="106"/>
      <c r="E117" s="97">
        <v>2004</v>
      </c>
      <c r="F117" s="99"/>
      <c r="G117" s="136"/>
      <c r="H117" s="172">
        <f>I117+K117</f>
        <v>0</v>
      </c>
      <c r="I117" s="156"/>
      <c r="K117" s="69"/>
      <c r="L117"/>
      <c r="M117"/>
      <c r="N117"/>
      <c r="O117"/>
    </row>
    <row r="118" spans="1:15" s="33" customFormat="1" ht="24.75" customHeight="1" thickBot="1">
      <c r="A118" s="44"/>
      <c r="B118" s="44"/>
      <c r="C118" s="32" t="s">
        <v>52</v>
      </c>
      <c r="D118" s="224"/>
      <c r="E118" s="248"/>
      <c r="F118" s="32"/>
      <c r="G118" s="126"/>
      <c r="H118" s="164">
        <f>I118+J118+K118</f>
        <v>16000</v>
      </c>
      <c r="I118" s="147"/>
      <c r="J118" s="268"/>
      <c r="K118" s="32">
        <f>K120+K124</f>
        <v>16000</v>
      </c>
      <c r="L118"/>
      <c r="M118"/>
      <c r="N118"/>
      <c r="O118"/>
    </row>
    <row r="119" spans="1:15" s="30" customFormat="1" ht="21.75" customHeight="1" thickTop="1">
      <c r="A119" s="28"/>
      <c r="B119" s="28"/>
      <c r="C119" s="29" t="s">
        <v>53</v>
      </c>
      <c r="D119" s="225"/>
      <c r="E119" s="247"/>
      <c r="F119" s="29"/>
      <c r="G119" s="125"/>
      <c r="H119" s="163"/>
      <c r="I119" s="146"/>
      <c r="J119" s="29"/>
      <c r="K119" s="29"/>
      <c r="L119"/>
      <c r="M119"/>
      <c r="N119"/>
      <c r="O119"/>
    </row>
    <row r="120" spans="1:15" s="92" customFormat="1" ht="30" customHeight="1">
      <c r="A120" s="89"/>
      <c r="B120" s="89"/>
      <c r="C120" s="90" t="s">
        <v>54</v>
      </c>
      <c r="D120" s="226"/>
      <c r="E120" s="253"/>
      <c r="F120" s="91"/>
      <c r="G120" s="142"/>
      <c r="H120" s="178">
        <f aca="true" t="shared" si="7" ref="H120:H127">I120+J120+K120</f>
        <v>8000</v>
      </c>
      <c r="I120" s="160"/>
      <c r="J120" s="91"/>
      <c r="K120" s="91">
        <f>K121</f>
        <v>8000</v>
      </c>
      <c r="L120"/>
      <c r="M120"/>
      <c r="N120"/>
      <c r="O120"/>
    </row>
    <row r="121" spans="1:15" s="120" customFormat="1" ht="19.5" customHeight="1">
      <c r="A121" s="34">
        <v>852</v>
      </c>
      <c r="B121" s="34"/>
      <c r="C121" s="34" t="s">
        <v>103</v>
      </c>
      <c r="D121" s="227"/>
      <c r="E121" s="254"/>
      <c r="F121" s="34"/>
      <c r="G121" s="143"/>
      <c r="H121" s="170">
        <f t="shared" si="7"/>
        <v>8000</v>
      </c>
      <c r="I121" s="155"/>
      <c r="J121" s="66"/>
      <c r="K121" s="66">
        <f>K122</f>
        <v>8000</v>
      </c>
      <c r="L121"/>
      <c r="M121"/>
      <c r="N121"/>
      <c r="O121"/>
    </row>
    <row r="122" spans="1:15" s="120" customFormat="1" ht="19.5" customHeight="1">
      <c r="A122" s="119"/>
      <c r="B122" s="121">
        <v>85219</v>
      </c>
      <c r="C122" s="122" t="s">
        <v>148</v>
      </c>
      <c r="D122" s="218"/>
      <c r="E122" s="231"/>
      <c r="F122" s="100"/>
      <c r="G122" s="144"/>
      <c r="H122" s="179">
        <f t="shared" si="7"/>
        <v>8000</v>
      </c>
      <c r="I122" s="161"/>
      <c r="J122" s="100"/>
      <c r="K122" s="100">
        <f>K123</f>
        <v>8000</v>
      </c>
      <c r="L122"/>
      <c r="M122"/>
      <c r="N122"/>
      <c r="O122"/>
    </row>
    <row r="123" spans="1:15" s="120" customFormat="1" ht="21" customHeight="1">
      <c r="A123" s="119"/>
      <c r="B123" s="119"/>
      <c r="C123" s="123" t="s">
        <v>27</v>
      </c>
      <c r="D123" s="181" t="s">
        <v>147</v>
      </c>
      <c r="E123" s="204">
        <v>2004</v>
      </c>
      <c r="F123" s="124"/>
      <c r="G123" s="145"/>
      <c r="H123" s="180">
        <f t="shared" si="7"/>
        <v>8000</v>
      </c>
      <c r="I123" s="162"/>
      <c r="J123" s="124"/>
      <c r="K123" s="124">
        <v>8000</v>
      </c>
      <c r="L123"/>
      <c r="M123"/>
      <c r="N123"/>
      <c r="O123"/>
    </row>
    <row r="124" spans="1:15" s="92" customFormat="1" ht="30.75" customHeight="1">
      <c r="A124" s="89"/>
      <c r="B124" s="89"/>
      <c r="C124" s="315" t="s">
        <v>55</v>
      </c>
      <c r="D124" s="316"/>
      <c r="E124" s="317"/>
      <c r="F124" s="318"/>
      <c r="G124" s="319"/>
      <c r="H124" s="320">
        <f t="shared" si="7"/>
        <v>8000</v>
      </c>
      <c r="I124" s="321"/>
      <c r="J124" s="318"/>
      <c r="K124" s="318">
        <f>K125</f>
        <v>8000</v>
      </c>
      <c r="L124"/>
      <c r="M124"/>
      <c r="N124"/>
      <c r="O124"/>
    </row>
    <row r="125" spans="1:15" s="36" customFormat="1" ht="31.5" customHeight="1">
      <c r="A125" s="107">
        <v>853</v>
      </c>
      <c r="B125" s="34"/>
      <c r="C125" s="72" t="s">
        <v>166</v>
      </c>
      <c r="D125" s="219"/>
      <c r="E125" s="251"/>
      <c r="F125" s="66"/>
      <c r="G125" s="133"/>
      <c r="H125" s="170">
        <f t="shared" si="7"/>
        <v>8000</v>
      </c>
      <c r="I125" s="155"/>
      <c r="J125" s="66"/>
      <c r="K125" s="66">
        <f>K126</f>
        <v>8000</v>
      </c>
      <c r="L125"/>
      <c r="M125"/>
      <c r="N125"/>
      <c r="O125"/>
    </row>
    <row r="126" spans="1:15" s="33" customFormat="1" ht="31.5" customHeight="1">
      <c r="A126" s="44"/>
      <c r="B126" s="79">
        <v>85321</v>
      </c>
      <c r="C126" s="74" t="s">
        <v>149</v>
      </c>
      <c r="D126" s="220"/>
      <c r="E126" s="252"/>
      <c r="F126" s="65"/>
      <c r="G126" s="137"/>
      <c r="H126" s="173">
        <f t="shared" si="7"/>
        <v>8000</v>
      </c>
      <c r="I126" s="157"/>
      <c r="J126" s="65"/>
      <c r="K126" s="65">
        <f>K127</f>
        <v>8000</v>
      </c>
      <c r="L126"/>
      <c r="M126"/>
      <c r="N126"/>
      <c r="O126"/>
    </row>
    <row r="127" spans="1:15" s="36" customFormat="1" ht="21.75" customHeight="1">
      <c r="A127" s="40"/>
      <c r="B127" s="40"/>
      <c r="C127" s="68" t="s">
        <v>27</v>
      </c>
      <c r="D127" s="93" t="s">
        <v>150</v>
      </c>
      <c r="E127" s="98">
        <v>2004</v>
      </c>
      <c r="F127" s="69"/>
      <c r="G127" s="136"/>
      <c r="H127" s="172">
        <f t="shared" si="7"/>
        <v>8000</v>
      </c>
      <c r="I127" s="156"/>
      <c r="J127" s="69"/>
      <c r="K127" s="69">
        <v>8000</v>
      </c>
      <c r="L127"/>
      <c r="M127"/>
      <c r="N127"/>
      <c r="O127"/>
    </row>
    <row r="128" ht="12.75">
      <c r="D128" s="228"/>
    </row>
    <row r="129" ht="12.75">
      <c r="D129" s="228"/>
    </row>
    <row r="130" ht="12.75">
      <c r="D130" s="228"/>
    </row>
    <row r="131" spans="4:10" ht="15">
      <c r="D131" s="228"/>
      <c r="J131" s="338" t="s">
        <v>209</v>
      </c>
    </row>
    <row r="132" spans="4:10" ht="15">
      <c r="D132" s="228"/>
      <c r="J132" s="338" t="s">
        <v>210</v>
      </c>
    </row>
    <row r="133" spans="4:10" ht="15">
      <c r="D133" s="228"/>
      <c r="J133" s="338" t="s">
        <v>211</v>
      </c>
    </row>
    <row r="134" ht="12.75">
      <c r="D134" s="228"/>
    </row>
    <row r="135" ht="12.75">
      <c r="D135" s="228"/>
    </row>
    <row r="136" ht="12.75">
      <c r="D136" s="228"/>
    </row>
    <row r="137" ht="12.75">
      <c r="D137" s="228"/>
    </row>
    <row r="138" ht="12.75">
      <c r="D138" s="228"/>
    </row>
    <row r="139" ht="12.75">
      <c r="D139" s="228"/>
    </row>
    <row r="140" ht="12.75">
      <c r="D140" s="228"/>
    </row>
    <row r="141" ht="12.75">
      <c r="D141" s="228"/>
    </row>
    <row r="142" ht="12.75">
      <c r="D142" s="228"/>
    </row>
    <row r="143" ht="12.75">
      <c r="D143" s="228"/>
    </row>
    <row r="144" ht="12.75">
      <c r="D144" s="228"/>
    </row>
    <row r="145" ht="12.75">
      <c r="D145" s="228"/>
    </row>
    <row r="146" ht="12.75">
      <c r="D146" s="228"/>
    </row>
    <row r="147" ht="12.75">
      <c r="D147" s="228"/>
    </row>
    <row r="148" ht="12.75">
      <c r="D148" s="228"/>
    </row>
    <row r="149" ht="12.75">
      <c r="D149" s="228"/>
    </row>
    <row r="150" ht="12.75">
      <c r="D150" s="228"/>
    </row>
    <row r="151" ht="12.75">
      <c r="D151" s="228"/>
    </row>
    <row r="152" ht="12.75">
      <c r="D152" s="228"/>
    </row>
    <row r="153" ht="12.75">
      <c r="D153" s="228"/>
    </row>
    <row r="154" ht="12.75">
      <c r="D154" s="228"/>
    </row>
    <row r="155" ht="12.75">
      <c r="D155" s="228"/>
    </row>
    <row r="156" ht="12.75">
      <c r="D156" s="228"/>
    </row>
    <row r="157" ht="12.75">
      <c r="D157" s="228"/>
    </row>
    <row r="158" ht="12.75">
      <c r="D158" s="228"/>
    </row>
    <row r="159" ht="12.75">
      <c r="D159" s="228"/>
    </row>
    <row r="160" ht="12.75">
      <c r="D160" s="228"/>
    </row>
    <row r="161" ht="12.75">
      <c r="D161" s="228"/>
    </row>
  </sheetData>
  <printOptions horizontalCentered="1"/>
  <pageMargins left="0.5905511811023623" right="0.5905511811023623" top="0.4724409448818898" bottom="0.6692913385826772" header="0.5118110236220472" footer="0.5118110236220472"/>
  <pageSetup firstPageNumber="44" useFirstPageNumber="1" horizontalDpi="300" verticalDpi="3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Finansowy</dc:creator>
  <cp:keywords/>
  <dc:description/>
  <cp:lastModifiedBy>um</cp:lastModifiedBy>
  <cp:lastPrinted>2003-12-12T16:35:48Z</cp:lastPrinted>
  <dcterms:created xsi:type="dcterms:W3CDTF">2001-09-17T12:27:57Z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