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tabRatio="599" firstSheet="2" activeTab="3"/>
  </bookViews>
  <sheets>
    <sheet name="doch RM" sheetId="1" r:id="rId1"/>
    <sheet name="Wyd RM" sheetId="2" r:id="rId2"/>
    <sheet name="inwest" sheetId="3" r:id="rId3"/>
    <sheet name="dotacje" sheetId="4" r:id="rId4"/>
    <sheet name="doch Pr" sheetId="5" r:id="rId5"/>
    <sheet name="Wyd Pr" sheetId="6" r:id="rId6"/>
    <sheet name="jednostki" sheetId="7" r:id="rId7"/>
    <sheet name="Szkoły" sheetId="8" r:id="rId8"/>
    <sheet name="Doch-harm" sheetId="9" r:id="rId9"/>
    <sheet name="Wyd-harm" sheetId="10" r:id="rId10"/>
  </sheets>
  <definedNames>
    <definedName name="_xlnm.Print_Area" localSheetId="1">'Wyd RM'!$A:$IV</definedName>
    <definedName name="_xlnm.Print_Titles" localSheetId="4">'doch Pr'!$7:$7</definedName>
    <definedName name="_xlnm.Print_Titles" localSheetId="0">'doch RM'!$7:$7</definedName>
    <definedName name="_xlnm.Print_Titles" localSheetId="8">'Doch-harm'!$8:$8</definedName>
    <definedName name="_xlnm.Print_Titles" localSheetId="3">'dotacje'!$7:$7</definedName>
    <definedName name="_xlnm.Print_Titles" localSheetId="2">'inwest'!$6:$8</definedName>
    <definedName name="_xlnm.Print_Titles" localSheetId="6">'jednostki'!$9:$9</definedName>
    <definedName name="_xlnm.Print_Titles" localSheetId="7">'Szkoły'!$3:$7</definedName>
    <definedName name="_xlnm.Print_Titles" localSheetId="5">'Wyd Pr'!$7:$7</definedName>
    <definedName name="_xlnm.Print_Titles" localSheetId="1">'Wyd RM'!$7:$7</definedName>
    <definedName name="_xlnm.Print_Titles" localSheetId="9">'Wyd-harm'!$9:$9</definedName>
  </definedNames>
  <calcPr fullCalcOnLoad="1"/>
</workbook>
</file>

<file path=xl/sharedStrings.xml><?xml version="1.0" encoding="utf-8"?>
<sst xmlns="http://schemas.openxmlformats.org/spreadsheetml/2006/main" count="507" uniqueCount="239">
  <si>
    <t xml:space="preserve">Państwowe Szkoły Budownictwa i Geodezji  </t>
  </si>
  <si>
    <t>I Liceum Ogólnokształcące</t>
  </si>
  <si>
    <t>IILO</t>
  </si>
  <si>
    <t>IVLO</t>
  </si>
  <si>
    <t>VIILO</t>
  </si>
  <si>
    <t>IXLO</t>
  </si>
  <si>
    <t>II Liceum Ogólnokształcące</t>
  </si>
  <si>
    <t>XLO</t>
  </si>
  <si>
    <t>XILO</t>
  </si>
  <si>
    <t>Zespół Szkół Włókienniczych</t>
  </si>
  <si>
    <t>Zespół Szkół Budowlanych</t>
  </si>
  <si>
    <t>Zespół Szkół Ekonomicznych</t>
  </si>
  <si>
    <t>Zespół Szkół Energetycznych</t>
  </si>
  <si>
    <t>Zespół Szkół Samochodowych</t>
  </si>
  <si>
    <t>Zespół Szkół nr 5</t>
  </si>
  <si>
    <t>III Liceum Ogólnokształcące</t>
  </si>
  <si>
    <t>IV Liceum Ogólnokształcące</t>
  </si>
  <si>
    <t>VI Liceum Ogólnokształcące</t>
  </si>
  <si>
    <t>VII Liceum Ogólnokształcące</t>
  </si>
  <si>
    <t>IX Liceum Ogólnokształcące</t>
  </si>
  <si>
    <t>Dotacja podmiotowa z budżetu dla niepublicznej jednostki systemu oświaty</t>
  </si>
  <si>
    <t>Dotacje podmiotowe z budżetu dla publicznej jednostki systemu oświaty prowadzonej przez osobę prawną inną niż jednostka samorządu terytorialnego oraz przez osobę fizyczną</t>
  </si>
  <si>
    <t xml:space="preserve">Wykaz zadań miasta realizowanych przez podmioty niezaliczone do sektora </t>
  </si>
  <si>
    <t xml:space="preserve">                                                         w złotych</t>
  </si>
  <si>
    <t>Nazwa działu, rozdziału, zadania</t>
  </si>
  <si>
    <t>Plan dotacji
po zmianach</t>
  </si>
  <si>
    <t>Przeznaczenie dotacji (cel publiczny)</t>
  </si>
  <si>
    <r>
      <t>z tego:</t>
    </r>
    <r>
      <rPr>
        <b/>
        <sz val="11"/>
        <rFont val="Arial CE"/>
        <family val="2"/>
      </rPr>
      <t xml:space="preserve">
Zadania własne</t>
    </r>
  </si>
  <si>
    <t>Dział 854 - Edukacyjna opieka wychowawcza</t>
  </si>
  <si>
    <t>1.2 Wydział Oświaty i Wychowania</t>
  </si>
  <si>
    <t xml:space="preserve">2. Szkoły i placówki oświatowe </t>
  </si>
  <si>
    <t>Dochody                                                                                                                                            (nazwa działu, rozdziału, źródła dochodów, paragrafu)</t>
  </si>
  <si>
    <t>Dochody                                                                                                                                            (nazwa działu, rozdziału, źródła dochodów)</t>
  </si>
  <si>
    <t>Wydatki                                                                                                                               
(nazwa działu, rozdziału, zadania)</t>
  </si>
  <si>
    <t>wyrównywanie szans edukacyjnych poprzez programy stypendialne</t>
  </si>
  <si>
    <t>Zespół Szkół im. św. St. Kostki; Archidiecezja Lubelska, ul. Prymasa Stefana Wyszyńskiego 2, 20-950 Lublin</t>
  </si>
  <si>
    <t>Technikum ZDZ; Zakład Doskonalenia Zawodowego, ul. Królewska 15, 20-950 Lublin</t>
  </si>
  <si>
    <t>Szkoły i placówki oświatowe</t>
  </si>
  <si>
    <t>§ 3248</t>
  </si>
  <si>
    <t>§ 3249</t>
  </si>
  <si>
    <t>Zespół Szkół nr 6</t>
  </si>
  <si>
    <t>Zespół Szkół Odzieżowo - Włókienniczych</t>
  </si>
  <si>
    <t>Zespół Szkół Transportowo - Komunikacyjnych</t>
  </si>
  <si>
    <t>1.1 Wydział Oświaty i Wychowania</t>
  </si>
  <si>
    <t>2.  Szkoły i placówki oświatowe</t>
  </si>
  <si>
    <t>Zespół Szkół Rzemiosła i Przedsiębiorczości; Izba Rzemiosła i Przedsiębiorczości,
 ul. Rynek 2, 20-111 Lublin</t>
  </si>
  <si>
    <t>Zespół Szkół Rzemiosła i Przedsiębiorczości; Izba Rzemiosła i Przedsiębiorczości, 
ul. Rynek 2, 20-111 Lublin</t>
  </si>
  <si>
    <t>Zespół Szkół nr 3</t>
  </si>
  <si>
    <t>rozdz. 85415 - Pomoc materialna dla uczniów</t>
  </si>
  <si>
    <t xml:space="preserve">Zespół Szkół Elektronicznych </t>
  </si>
  <si>
    <t xml:space="preserve">Zespół Szkół nr 1 </t>
  </si>
  <si>
    <t>Wydatki na zadania realizowane na podstawie porozumień i umów</t>
  </si>
  <si>
    <t>Wydatki na zadania realizowane na podstawie porozumień 
i umów</t>
  </si>
  <si>
    <t>Załącznik nr 3</t>
  </si>
  <si>
    <t>Dochody</t>
  </si>
  <si>
    <t>Zwiększenia</t>
  </si>
  <si>
    <t>Dochody budżetu miasta ogółem</t>
  </si>
  <si>
    <t>I. Dochody gminy ogółem, z tego: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</si>
  <si>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</si>
  <si>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</si>
  <si>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</si>
  <si>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</si>
  <si>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>II. Dochody powiatu ogółem, z tego:</t>
  </si>
  <si>
    <t>Dział</t>
  </si>
  <si>
    <t xml:space="preserve">Rozdz.      </t>
  </si>
  <si>
    <t xml:space="preserve">Treść   </t>
  </si>
  <si>
    <t>Ogółem</t>
  </si>
  <si>
    <t>1. Urząd Miasta</t>
  </si>
  <si>
    <t>1.1 Wydział Finansowy</t>
  </si>
  <si>
    <t xml:space="preserve">Podział planowanych dochodów i wydatków budżetu miasta </t>
  </si>
  <si>
    <t>w tym:</t>
  </si>
  <si>
    <t>Edukacyjna opieka wychowawcza</t>
  </si>
  <si>
    <t>Dochody powiatu, w tym:</t>
  </si>
  <si>
    <t>Załącznik nr 4</t>
  </si>
  <si>
    <t>Załącznik nr 8</t>
  </si>
  <si>
    <t>Załącznik nr 5</t>
  </si>
  <si>
    <t>Załącznik nr 2</t>
  </si>
  <si>
    <t>Dotacje celowe z budżetu państwa na zadania z zakresu administracji rządowej</t>
  </si>
  <si>
    <t xml:space="preserve">Rozdz. </t>
  </si>
  <si>
    <t>I kwartał</t>
  </si>
  <si>
    <t>II kwartał</t>
  </si>
  <si>
    <t>III kwartał</t>
  </si>
  <si>
    <t>IV kwartał</t>
  </si>
  <si>
    <t>Dochody ogółem</t>
  </si>
  <si>
    <t>Treść</t>
  </si>
  <si>
    <t>Prezydenta Miasta Lublin</t>
  </si>
  <si>
    <t>Wydatki</t>
  </si>
  <si>
    <t>w złotych</t>
  </si>
  <si>
    <t>Dz.</t>
  </si>
  <si>
    <t>Rozdz.</t>
  </si>
  <si>
    <t>§</t>
  </si>
  <si>
    <t>Zmniejszenie</t>
  </si>
  <si>
    <t>Plan po zmianach</t>
  </si>
  <si>
    <t>Wydatki ogółem</t>
  </si>
  <si>
    <t>z tego:</t>
  </si>
  <si>
    <t>Wydatki na zadania własne</t>
  </si>
  <si>
    <t>Zakup materiałów i wyposażenia</t>
  </si>
  <si>
    <t>Pomoc materialna dla uczniów</t>
  </si>
  <si>
    <t>Razem</t>
  </si>
  <si>
    <t xml:space="preserve">       Nazwa</t>
  </si>
  <si>
    <t xml:space="preserve">       szkoły</t>
  </si>
  <si>
    <t>ILO</t>
  </si>
  <si>
    <t>V Liceum Ogólnokształcące</t>
  </si>
  <si>
    <t>VIIILO</t>
  </si>
  <si>
    <t>VIII Liceum Ogólnokształcące</t>
  </si>
  <si>
    <t>XIVLO</t>
  </si>
  <si>
    <t>Lubelskie Centrum Edukacji Zawodowej</t>
  </si>
  <si>
    <t>Załącznik nr 1</t>
  </si>
  <si>
    <t>Stypendia</t>
  </si>
  <si>
    <t xml:space="preserve">Zespół Szkół Ogólnokształcących nr 1 </t>
  </si>
  <si>
    <t>Zespół Szkół Ogólnokształcących nr 2</t>
  </si>
  <si>
    <t>Zespół Szkół Ogólnokształcących nr 4</t>
  </si>
  <si>
    <t>Zespół Szkół Ogólnokształcących nr 5</t>
  </si>
  <si>
    <t>Zespół Szkół Ogólnokształcących nr 6</t>
  </si>
  <si>
    <t>Wydatki na zadania realizowane na podstawie porozumień
i umów</t>
  </si>
  <si>
    <t xml:space="preserve">                   Prezydenta Miasta Lublin</t>
  </si>
  <si>
    <t>Dochody budżetu miasta na 2005 rok</t>
  </si>
  <si>
    <t xml:space="preserve">Plan według uchwały    
nr 583/XXV/2004                              
Rady Miasta Lublin
z 30.12.2004 r.
z późn. zm.                           </t>
  </si>
  <si>
    <t>Subwencje i dotacja rekompensująca</t>
  </si>
  <si>
    <t>Wydatki budżetu miasta na 2005 rok</t>
  </si>
  <si>
    <t xml:space="preserve">Plan według uchwały    
nr 583/XXV/2004                              
Rady Miasta Lublin
z 30.12.2004 r.
z późn. zm.                        </t>
  </si>
  <si>
    <t>Stypendia dla uczniów</t>
  </si>
  <si>
    <t xml:space="preserve">finansów publicznych </t>
  </si>
  <si>
    <t xml:space="preserve">Plan dotacji według uchwały    
nr 583/XXV/2004                              
Rady Miasta Lublin
z 30.12.2004 r.
z późn. zm.                        </t>
  </si>
  <si>
    <t>na 2005 rok według jednostek organizacyjnych realizujących budżet</t>
  </si>
  <si>
    <t>dla uczniów</t>
  </si>
  <si>
    <t xml:space="preserve">                                  Nazwa</t>
  </si>
  <si>
    <t xml:space="preserve">                                    paragrafu</t>
  </si>
  <si>
    <t>Harmonogram realizacji dochodów budżetu miasta w 2005 roku</t>
  </si>
  <si>
    <t>Harmonogram realizacji wydatków budżetu miasta w 2005 roku</t>
  </si>
  <si>
    <t>Plan
na 2005 rok
z późn. zm.</t>
  </si>
  <si>
    <t>Zadania zlecone</t>
  </si>
  <si>
    <t>Dotacje celowe na zadania realizowane na podstawie porozumień i umów</t>
  </si>
  <si>
    <t>Wydatki na zadania zlecone</t>
  </si>
  <si>
    <t>Wydatki                                                                                                                               (nazwa działu, rozdziału, zadania, paragrafu)</t>
  </si>
  <si>
    <t>Treść                                                                                                                   (nazwa działu, rozdziału)</t>
  </si>
  <si>
    <t>Plan 
na 2005 rok
z późn. zm.</t>
  </si>
  <si>
    <t>(nazwa działu, rozdziału)</t>
  </si>
  <si>
    <t>dotacja z Europejskiego Funduszu Społecznego i budżetu państwa na realizację projektu: "Fundusz stypendialny Miasta Lublin szansą ponadgimnazjalistów z terenów wiejskich"</t>
  </si>
  <si>
    <t>realizacja projektu: "Fundusz stypendialny Miasta Lublin szansą ponadgimnazjalistów z terenów wiejskich"</t>
  </si>
  <si>
    <t>Składki na ubezpieczenia społeczne</t>
  </si>
  <si>
    <t>Składki na Fundusz Pracy</t>
  </si>
  <si>
    <t>Wynagrodzenia bezosobowe</t>
  </si>
  <si>
    <t>Różne opłaty i składki</t>
  </si>
  <si>
    <t>Zakup usług pozostałych</t>
  </si>
  <si>
    <t>realizacja projektu: "Fundusz stypendialny Miasta Lublin szansą ponadgimnazjalistów 
z terenów wiejskich"</t>
  </si>
  <si>
    <t xml:space="preserve">Niepubliczne Technikum Leśne; Stowarzyszenie "Szansa", ul. Archidiakońska 6, 20-112 Lublin </t>
  </si>
  <si>
    <t>Zespół Szkół Chemicznych i Przemysłu Spożywczego</t>
  </si>
  <si>
    <t>Specjalny Ośrodek Szkolno - Wychowawczy dla Dzieci 
i Młodzieży Niesłyszącej i Słabo Słyszącej</t>
  </si>
  <si>
    <t xml:space="preserve">Specjalny Ośrodek Szkolno-Wychowawczy dla Dzieci 
i Młodzieży Słabo Widzącej </t>
  </si>
  <si>
    <t>Planowane wydatki majątkowe na 2005 rok</t>
  </si>
  <si>
    <t>Plan według uchwały    
nr 583/XXV/2004                              
Rady Miasta Lublin
z 30.12.2004 r. 
z późn. zm.</t>
  </si>
  <si>
    <t>Plan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</si>
  <si>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</si>
  <si>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</si>
  <si>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</si>
  <si>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</si>
  <si>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</si>
  <si>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Zmiany</t>
  </si>
  <si>
    <t>inwestycji po zmianach</t>
  </si>
  <si>
    <t>Ogółem wydatki majątkowe</t>
  </si>
  <si>
    <t>dotacja celowa z budżetu państwa na pomoc materialną dla uczniów w ramach Narodowego Programu Stypendialnego</t>
  </si>
  <si>
    <t>Dotacje celowe otrzymane z budżetu państwa na realizację własnych zadań bieżących gmin</t>
  </si>
  <si>
    <t>pomoc materialna dla uczniów w ramach Narodowego Programu Stypendialnego</t>
  </si>
  <si>
    <t>Zmniejszenia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</si>
  <si>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</si>
  <si>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</si>
  <si>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</si>
  <si>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</si>
  <si>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</si>
  <si>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10</t>
  </si>
  <si>
    <t>Szkoła Podstawowa nr 14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</si>
  <si>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</si>
  <si>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</si>
  <si>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</si>
  <si>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</si>
  <si>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</si>
  <si>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</si>
  <si>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</si>
  <si>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</si>
  <si>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</si>
  <si>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</si>
  <si>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</si>
  <si>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34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</si>
  <si>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</si>
  <si>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</si>
  <si>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</si>
  <si>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</si>
  <si>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</si>
  <si>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</si>
  <si>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</si>
  <si>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</si>
  <si>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</si>
  <si>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</si>
  <si>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</si>
  <si>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Pogotowie Opiekuńcze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</si>
  <si>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</si>
  <si>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</si>
  <si>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</si>
  <si>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</si>
  <si>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</si>
  <si>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</si>
  <si>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</si>
  <si>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</si>
  <si>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</si>
  <si>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</si>
  <si>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</si>
  <si>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</si>
  <si>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</si>
  <si>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</si>
  <si>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</si>
  <si>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</si>
  <si>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</si>
  <si>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Państwowe Szkoły Budownictwa i Geodezji</t>
  </si>
  <si>
    <t>Centrum Kształcenia Ustawicznego nr 1</t>
  </si>
  <si>
    <t>Zespół Szkół nr 4</t>
  </si>
  <si>
    <t>Specjalny Ośrodek Szkolno-Wychowawczy nr 1</t>
  </si>
  <si>
    <t>Specjalny Ośrodek Szkolno-Wychowawczy nr 2</t>
  </si>
  <si>
    <t>Szkoła Muzyczna I i II st. im. T. Szeligowskiego</t>
  </si>
  <si>
    <t>§ 3240</t>
  </si>
  <si>
    <t>Dochody gminy, w tym:</t>
  </si>
  <si>
    <t>1) zakres rzeczowy: zakup sprzętu komputerowego wraz z oprogramowaniem; wartość zakupów 15.450 zł; lata realizacji 2005</t>
  </si>
  <si>
    <t xml:space="preserve">                   Załącznik nr 7</t>
  </si>
  <si>
    <t xml:space="preserve">                   z dnia 22 listopada 2005 roku</t>
  </si>
  <si>
    <t>z dnia 22 listopada 2005 roku</t>
  </si>
  <si>
    <t>Załącznik nr 6</t>
  </si>
  <si>
    <t>Załącznik nr 9</t>
  </si>
  <si>
    <r>
      <t>zakupy inwestycyjne w ramach projektu "Fundusz stypendialny Miasta Lublin szansą ponadgimnazjalistów z terenów wiejskich"</t>
    </r>
    <r>
      <rPr>
        <vertAlign val="superscript"/>
        <sz val="10"/>
        <rFont val="Arial CE"/>
        <family val="2"/>
      </rPr>
      <t xml:space="preserve"> 1)</t>
    </r>
  </si>
  <si>
    <t>Wydatki na zakupy inwestycyjne jednostek budżetowych</t>
  </si>
  <si>
    <t>do zarządzenia nr 454/2005</t>
  </si>
  <si>
    <t xml:space="preserve">                   do zarządzenia nr 454/2005</t>
  </si>
  <si>
    <t>wynagrodzenia</t>
  </si>
  <si>
    <t>realizacja projektu: "Fundusz stypendialny Miasta Lublin szansą ponadgimnazjalistów z terenów wiejskich", w tym:</t>
  </si>
  <si>
    <t>inwestycje</t>
  </si>
  <si>
    <t xml:space="preserve">Dotacja celowa otrzymana przez jednostkę samorządu terytorialnego od innej jednostki samorządu terytorialnego będącej instytucją wdrażającą na zadania bieżące realizowane na podstawie umów </t>
  </si>
  <si>
    <t xml:space="preserve">Dotacja celowa otrzymana przez jednostkę samorządu terytorialnego od innej jednostki samorządu terytorialnego będącej instytucją wdrażającą na inwestycje i zakupy inwestycyjne realizowane na podstawie umów </t>
  </si>
  <si>
    <t xml:space="preserve">        Z up. Skarbnika Miasta Lublin                                             PREZYDENT</t>
  </si>
  <si>
    <t xml:space="preserve">              mgr Mirosława Puton                                                     Miasta Lublin</t>
  </si>
  <si>
    <t xml:space="preserve"> Z-ca Dyrektora Wydziału Finansowego                                Andrzej Pruszkowski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</si>
</sst>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2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vertAlign val="superscript"/>
      <sz val="10"/>
      <name val="Arial CE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wrapText="1"/>
    </xf>
    <xf numFmtId="3" fontId="5" fillId="2" borderId="5" xfId="0" applyNumberFormat="1" applyFont="1" applyFill="1" applyBorder="1" applyAlignment="1">
      <alignment wrapText="1"/>
    </xf>
    <xf numFmtId="0" fontId="0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3" fontId="5" fillId="2" borderId="5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3" fontId="4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5" fillId="2" borderId="8" xfId="0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0" fontId="7" fillId="0" borderId="6" xfId="0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0" fontId="4" fillId="3" borderId="2" xfId="0" applyFont="1" applyFill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5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5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3" borderId="8" xfId="0" applyFont="1" applyFill="1" applyBorder="1" applyAlignment="1">
      <alignment/>
    </xf>
    <xf numFmtId="3" fontId="5" fillId="0" borderId="8" xfId="0" applyNumberFormat="1" applyFont="1" applyBorder="1" applyAlignment="1">
      <alignment wrapText="1"/>
    </xf>
    <xf numFmtId="0" fontId="4" fillId="3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5" fillId="2" borderId="8" xfId="0" applyFont="1" applyFill="1" applyBorder="1" applyAlignment="1">
      <alignment/>
    </xf>
    <xf numFmtId="3" fontId="5" fillId="2" borderId="8" xfId="0" applyNumberFormat="1" applyFont="1" applyFill="1" applyBorder="1" applyAlignment="1">
      <alignment wrapText="1"/>
    </xf>
    <xf numFmtId="0" fontId="13" fillId="0" borderId="0" xfId="0" applyAlignment="1">
      <alignment/>
    </xf>
    <xf numFmtId="3" fontId="13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Alignment="1">
      <alignment/>
    </xf>
    <xf numFmtId="0" fontId="15" fillId="0" borderId="0" xfId="0" applyFont="1" applyAlignment="1">
      <alignment horizontal="left"/>
    </xf>
    <xf numFmtId="3" fontId="13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4" fillId="0" borderId="14" xfId="0" applyAlignment="1">
      <alignment horizontal="center" vertical="center"/>
    </xf>
    <xf numFmtId="0" fontId="14" fillId="0" borderId="14" xfId="0" applyFont="1" applyAlignment="1">
      <alignment horizontal="center" vertical="center" wrapText="1"/>
    </xf>
    <xf numFmtId="3" fontId="14" fillId="0" borderId="14" xfId="0" applyAlignment="1">
      <alignment horizontal="center" vertical="center" wrapText="1"/>
    </xf>
    <xf numFmtId="0" fontId="17" fillId="0" borderId="14" xfId="0" applyFont="1" applyAlignment="1">
      <alignment horizontal="center"/>
    </xf>
    <xf numFmtId="0" fontId="17" fillId="0" borderId="15" xfId="0" applyFont="1" applyBorder="1" applyAlignment="1">
      <alignment horizontal="center"/>
    </xf>
    <xf numFmtId="3" fontId="17" fillId="0" borderId="14" xfId="0" applyFont="1" applyAlignment="1">
      <alignment horizontal="center" vertical="center"/>
    </xf>
    <xf numFmtId="0" fontId="18" fillId="0" borderId="16" xfId="0" applyAlignment="1">
      <alignment horizontal="left"/>
    </xf>
    <xf numFmtId="0" fontId="18" fillId="0" borderId="17" xfId="0" applyBorder="1" applyAlignment="1">
      <alignment/>
    </xf>
    <xf numFmtId="0" fontId="18" fillId="0" borderId="18" xfId="0" applyBorder="1" applyAlignment="1">
      <alignment horizontal="left"/>
    </xf>
    <xf numFmtId="3" fontId="18" fillId="0" borderId="18" xfId="0" applyNumberFormat="1" applyAlignment="1">
      <alignment horizontal="right"/>
    </xf>
    <xf numFmtId="3" fontId="18" fillId="0" borderId="18" xfId="0" applyNumberFormat="1" applyFont="1" applyAlignment="1">
      <alignment horizontal="right"/>
    </xf>
    <xf numFmtId="0" fontId="13" fillId="0" borderId="19" xfId="0" applyAlignment="1">
      <alignment horizontal="center"/>
    </xf>
    <xf numFmtId="0" fontId="13" fillId="0" borderId="20" xfId="0" applyBorder="1" applyAlignment="1">
      <alignment horizontal="center"/>
    </xf>
    <xf numFmtId="0" fontId="14" fillId="4" borderId="21" xfId="0" applyFont="1" applyBorder="1" applyAlignment="1">
      <alignment horizontal="center"/>
    </xf>
    <xf numFmtId="3" fontId="14" fillId="4" borderId="21" xfId="0" applyNumberFormat="1" applyAlignment="1">
      <alignment horizontal="right"/>
    </xf>
    <xf numFmtId="0" fontId="13" fillId="0" borderId="19" xfId="0" applyAlignment="1">
      <alignment/>
    </xf>
    <xf numFmtId="0" fontId="13" fillId="0" borderId="20" xfId="0" applyBorder="1" applyAlignment="1">
      <alignment/>
    </xf>
    <xf numFmtId="0" fontId="19" fillId="4" borderId="19" xfId="0" applyBorder="1" applyAlignment="1">
      <alignment horizontal="center"/>
    </xf>
    <xf numFmtId="3" fontId="19" fillId="4" borderId="19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21" fillId="0" borderId="0" xfId="0" applyAlignment="1">
      <alignment/>
    </xf>
    <xf numFmtId="3" fontId="21" fillId="0" borderId="0" xfId="0" applyAlignment="1">
      <alignment/>
    </xf>
    <xf numFmtId="3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Alignment="1">
      <alignment/>
    </xf>
    <xf numFmtId="0" fontId="20" fillId="0" borderId="0" xfId="0" applyFont="1" applyFill="1" applyBorder="1" applyAlignment="1">
      <alignment wrapText="1"/>
    </xf>
    <xf numFmtId="3" fontId="16" fillId="0" borderId="0" xfId="0" applyFont="1" applyAlignment="1">
      <alignment horizontal="right"/>
    </xf>
    <xf numFmtId="0" fontId="18" fillId="0" borderId="22" xfId="0" applyAlignment="1">
      <alignment/>
    </xf>
    <xf numFmtId="0" fontId="18" fillId="0" borderId="22" xfId="0" applyAlignment="1">
      <alignment horizontal="center"/>
    </xf>
    <xf numFmtId="3" fontId="18" fillId="0" borderId="22" xfId="0" applyAlignment="1">
      <alignment horizontal="center" vertical="center"/>
    </xf>
    <xf numFmtId="3" fontId="18" fillId="0" borderId="23" xfId="0" applyAlignment="1">
      <alignment horizontal="center" vertical="center"/>
    </xf>
    <xf numFmtId="0" fontId="18" fillId="0" borderId="24" xfId="0" applyAlignment="1">
      <alignment horizontal="center" vertical="top" wrapText="1"/>
    </xf>
    <xf numFmtId="0" fontId="18" fillId="0" borderId="25" xfId="0" applyFont="1" applyAlignment="1">
      <alignment horizontal="center" vertical="center"/>
    </xf>
    <xf numFmtId="3" fontId="18" fillId="0" borderId="26" xfId="0" applyAlignment="1">
      <alignment horizontal="center" vertical="top" wrapText="1"/>
    </xf>
    <xf numFmtId="0" fontId="22" fillId="0" borderId="14" xfId="0" applyAlignment="1">
      <alignment horizontal="center" vertical="center"/>
    </xf>
    <xf numFmtId="3" fontId="22" fillId="0" borderId="14" xfId="0" applyAlignment="1">
      <alignment horizontal="center" vertical="center"/>
    </xf>
    <xf numFmtId="0" fontId="11" fillId="0" borderId="0" xfId="0" applyFont="1" applyAlignment="1">
      <alignment/>
    </xf>
    <xf numFmtId="3" fontId="7" fillId="2" borderId="5" xfId="0" applyNumberFormat="1" applyFont="1" applyFill="1" applyBorder="1" applyAlignment="1">
      <alignment wrapText="1"/>
    </xf>
    <xf numFmtId="3" fontId="7" fillId="0" borderId="8" xfId="0" applyNumberFormat="1" applyFont="1" applyBorder="1" applyAlignment="1">
      <alignment wrapText="1"/>
    </xf>
    <xf numFmtId="3" fontId="4" fillId="0" borderId="9" xfId="0" applyNumberFormat="1" applyFont="1" applyBorder="1" applyAlignment="1">
      <alignment wrapText="1"/>
    </xf>
    <xf numFmtId="0" fontId="23" fillId="0" borderId="0" xfId="0" applyFont="1" applyAlignment="1">
      <alignment/>
    </xf>
    <xf numFmtId="0" fontId="11" fillId="5" borderId="16" xfId="0" applyFont="1" applyFill="1" applyAlignment="1">
      <alignment horizontal="center" vertical="center"/>
    </xf>
    <xf numFmtId="0" fontId="10" fillId="5" borderId="27" xfId="0" applyFont="1" applyFill="1" applyAlignment="1">
      <alignment horizontal="center" vertical="center"/>
    </xf>
    <xf numFmtId="3" fontId="10" fillId="5" borderId="27" xfId="0" applyNumberFormat="1" applyFont="1" applyFill="1" applyAlignment="1">
      <alignment horizontal="right"/>
    </xf>
    <xf numFmtId="0" fontId="0" fillId="5" borderId="19" xfId="0" applyFont="1" applyFill="1" applyAlignment="1">
      <alignment horizontal="center" vertical="center"/>
    </xf>
    <xf numFmtId="0" fontId="0" fillId="5" borderId="19" xfId="0" applyFont="1" applyFill="1" applyAlignment="1">
      <alignment horizontal="left" vertical="center"/>
    </xf>
    <xf numFmtId="3" fontId="0" fillId="5" borderId="28" xfId="0" applyNumberFormat="1" applyFont="1" applyFill="1" applyAlignment="1">
      <alignment horizontal="center" vertical="center"/>
    </xf>
    <xf numFmtId="3" fontId="0" fillId="5" borderId="19" xfId="0" applyNumberFormat="1" applyFont="1" applyFill="1" applyAlignment="1">
      <alignment horizontal="center" vertical="center"/>
    </xf>
    <xf numFmtId="0" fontId="7" fillId="3" borderId="13" xfId="0" applyFont="1" applyFill="1" applyBorder="1" applyAlignment="1">
      <alignment wrapText="1"/>
    </xf>
    <xf numFmtId="3" fontId="7" fillId="3" borderId="13" xfId="0" applyNumberFormat="1" applyFont="1" applyFill="1" applyBorder="1" applyAlignment="1">
      <alignment wrapText="1"/>
    </xf>
    <xf numFmtId="0" fontId="14" fillId="0" borderId="29" xfId="0" applyFont="1" applyBorder="1" applyAlignment="1">
      <alignment horizontal="center" vertical="center" wrapText="1"/>
    </xf>
    <xf numFmtId="0" fontId="14" fillId="0" borderId="14" xfId="0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right"/>
    </xf>
    <xf numFmtId="0" fontId="4" fillId="0" borderId="30" xfId="0" applyFont="1" applyBorder="1" applyAlignment="1">
      <alignment wrapText="1"/>
    </xf>
    <xf numFmtId="3" fontId="4" fillId="0" borderId="30" xfId="0" applyNumberFormat="1" applyFont="1" applyBorder="1" applyAlignment="1">
      <alignment wrapText="1"/>
    </xf>
    <xf numFmtId="3" fontId="4" fillId="0" borderId="31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4" fillId="0" borderId="0" xfId="0" applyFont="1" applyFill="1" applyAlignment="1">
      <alignment/>
    </xf>
    <xf numFmtId="3" fontId="12" fillId="0" borderId="2" xfId="0" applyNumberFormat="1" applyFont="1" applyBorder="1" applyAlignment="1">
      <alignment horizontal="center"/>
    </xf>
    <xf numFmtId="3" fontId="5" fillId="2" borderId="32" xfId="0" applyNumberFormat="1" applyFont="1" applyFill="1" applyBorder="1" applyAlignment="1">
      <alignment wrapText="1"/>
    </xf>
    <xf numFmtId="0" fontId="4" fillId="0" borderId="5" xfId="0" applyFont="1" applyBorder="1" applyAlignment="1">
      <alignment/>
    </xf>
    <xf numFmtId="0" fontId="0" fillId="6" borderId="19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3" fontId="12" fillId="6" borderId="19" xfId="0" applyNumberFormat="1" applyFont="1" applyFill="1" applyAlignment="1">
      <alignment horizontal="right" vertical="center"/>
    </xf>
    <xf numFmtId="3" fontId="4" fillId="0" borderId="3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2" borderId="8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3" fontId="7" fillId="3" borderId="6" xfId="0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horizontal="center"/>
    </xf>
    <xf numFmtId="0" fontId="0" fillId="3" borderId="2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3" fontId="5" fillId="3" borderId="33" xfId="0" applyNumberFormat="1" applyFont="1" applyFill="1" applyBorder="1" applyAlignment="1">
      <alignment wrapText="1"/>
    </xf>
    <xf numFmtId="3" fontId="0" fillId="3" borderId="35" xfId="0" applyNumberFormat="1" applyFont="1" applyFill="1" applyBorder="1" applyAlignment="1">
      <alignment wrapText="1"/>
    </xf>
    <xf numFmtId="3" fontId="5" fillId="2" borderId="36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0" fillId="3" borderId="9" xfId="0" applyNumberFormat="1" applyFont="1" applyFill="1" applyBorder="1" applyAlignment="1">
      <alignment wrapText="1"/>
    </xf>
    <xf numFmtId="3" fontId="0" fillId="3" borderId="8" xfId="0" applyNumberFormat="1" applyFont="1" applyFill="1" applyBorder="1" applyAlignment="1">
      <alignment wrapText="1"/>
    </xf>
    <xf numFmtId="0" fontId="4" fillId="2" borderId="33" xfId="0" applyFont="1" applyFill="1" applyBorder="1" applyAlignment="1">
      <alignment/>
    </xf>
    <xf numFmtId="0" fontId="7" fillId="0" borderId="8" xfId="0" applyFont="1" applyBorder="1" applyAlignment="1">
      <alignment wrapText="1"/>
    </xf>
    <xf numFmtId="3" fontId="5" fillId="0" borderId="0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wrapText="1"/>
    </xf>
    <xf numFmtId="1" fontId="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5" xfId="15" applyNumberFormat="1" applyFont="1" applyFill="1" applyBorder="1" applyAlignment="1">
      <alignment horizontal="right" vertical="center"/>
    </xf>
    <xf numFmtId="3" fontId="0" fillId="0" borderId="8" xfId="15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/>
    </xf>
    <xf numFmtId="3" fontId="5" fillId="0" borderId="41" xfId="15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3" borderId="33" xfId="0" applyFont="1" applyFill="1" applyBorder="1" applyAlignment="1">
      <alignment wrapText="1"/>
    </xf>
    <xf numFmtId="3" fontId="5" fillId="0" borderId="41" xfId="0" applyNumberFormat="1" applyFont="1" applyFill="1" applyBorder="1" applyAlignment="1">
      <alignment horizontal="left" vertical="center"/>
    </xf>
    <xf numFmtId="3" fontId="0" fillId="0" borderId="5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vertical="center" wrapText="1"/>
    </xf>
    <xf numFmtId="1" fontId="0" fillId="0" borderId="8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7" fillId="0" borderId="42" xfId="0" applyNumberFormat="1" applyFont="1" applyBorder="1" applyAlignment="1">
      <alignment wrapText="1"/>
    </xf>
    <xf numFmtId="0" fontId="0" fillId="3" borderId="2" xfId="0" applyFont="1" applyFill="1" applyBorder="1" applyAlignment="1">
      <alignment/>
    </xf>
    <xf numFmtId="0" fontId="5" fillId="0" borderId="4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3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0" fontId="5" fillId="0" borderId="7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3" fontId="10" fillId="0" borderId="5" xfId="0" applyNumberFormat="1" applyFont="1" applyBorder="1" applyAlignment="1">
      <alignment/>
    </xf>
    <xf numFmtId="0" fontId="0" fillId="3" borderId="8" xfId="0" applyFont="1" applyFill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3" fontId="7" fillId="0" borderId="12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3" fontId="0" fillId="3" borderId="8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0" fontId="4" fillId="0" borderId="34" xfId="0" applyFont="1" applyBorder="1" applyAlignment="1">
      <alignment/>
    </xf>
    <xf numFmtId="3" fontId="4" fillId="0" borderId="31" xfId="0" applyNumberFormat="1" applyFont="1" applyBorder="1" applyAlignment="1">
      <alignment wrapText="1"/>
    </xf>
    <xf numFmtId="3" fontId="24" fillId="0" borderId="2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4" fillId="0" borderId="44" xfId="0" applyFont="1" applyBorder="1" applyAlignment="1">
      <alignment wrapText="1"/>
    </xf>
    <xf numFmtId="0" fontId="10" fillId="0" borderId="12" xfId="0" applyFont="1" applyBorder="1" applyAlignment="1">
      <alignment horizontal="left" wrapText="1"/>
    </xf>
    <xf numFmtId="3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7" fillId="2" borderId="8" xfId="0" applyFont="1" applyFill="1" applyBorder="1" applyAlignment="1">
      <alignment/>
    </xf>
    <xf numFmtId="0" fontId="7" fillId="2" borderId="45" xfId="0" applyFont="1" applyFill="1" applyBorder="1" applyAlignment="1">
      <alignment wrapText="1"/>
    </xf>
    <xf numFmtId="3" fontId="7" fillId="2" borderId="45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0" fontId="5" fillId="0" borderId="46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wrapText="1"/>
    </xf>
    <xf numFmtId="3" fontId="5" fillId="3" borderId="5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right"/>
    </xf>
    <xf numFmtId="0" fontId="0" fillId="6" borderId="48" xfId="0" applyFont="1" applyFill="1" applyBorder="1" applyAlignment="1">
      <alignment/>
    </xf>
    <xf numFmtId="0" fontId="0" fillId="6" borderId="48" xfId="0" applyFont="1" applyFill="1" applyBorder="1" applyAlignment="1">
      <alignment wrapText="1"/>
    </xf>
    <xf numFmtId="0" fontId="5" fillId="6" borderId="49" xfId="0" applyFont="1" applyFill="1" applyBorder="1" applyAlignment="1">
      <alignment horizontal="center" vertical="center" wrapText="1"/>
    </xf>
    <xf numFmtId="0" fontId="0" fillId="6" borderId="49" xfId="0" applyFont="1" applyFill="1" applyBorder="1" applyAlignment="1">
      <alignment wrapText="1"/>
    </xf>
    <xf numFmtId="0" fontId="5" fillId="6" borderId="48" xfId="0" applyFont="1" applyFill="1" applyBorder="1" applyAlignment="1">
      <alignment horizontal="right" vertical="center"/>
    </xf>
    <xf numFmtId="0" fontId="5" fillId="6" borderId="48" xfId="0" applyFont="1" applyFill="1" applyBorder="1" applyAlignment="1">
      <alignment horizontal="center"/>
    </xf>
    <xf numFmtId="0" fontId="0" fillId="6" borderId="49" xfId="0" applyFont="1" applyFill="1" applyBorder="1" applyAlignment="1">
      <alignment/>
    </xf>
    <xf numFmtId="0" fontId="0" fillId="6" borderId="46" xfId="0" applyFont="1" applyFill="1" applyBorder="1" applyAlignment="1">
      <alignment/>
    </xf>
    <xf numFmtId="0" fontId="5" fillId="6" borderId="50" xfId="0" applyFont="1" applyFill="1" applyBorder="1" applyAlignment="1">
      <alignment horizontal="center" vertical="top"/>
    </xf>
    <xf numFmtId="0" fontId="5" fillId="6" borderId="50" xfId="0" applyFont="1" applyFill="1" applyBorder="1" applyAlignment="1">
      <alignment horizontal="center" vertical="top" wrapText="1"/>
    </xf>
    <xf numFmtId="0" fontId="5" fillId="6" borderId="5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52" xfId="0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6" fillId="0" borderId="0" xfId="0" applyFont="1" applyAlignment="1">
      <alignment/>
    </xf>
    <xf numFmtId="0" fontId="0" fillId="6" borderId="2" xfId="0" applyFont="1" applyFill="1" applyBorder="1" applyAlignment="1">
      <alignment/>
    </xf>
    <xf numFmtId="0" fontId="10" fillId="6" borderId="13" xfId="0" applyFont="1" applyFill="1" applyBorder="1" applyAlignment="1">
      <alignment wrapText="1"/>
    </xf>
    <xf numFmtId="3" fontId="10" fillId="6" borderId="13" xfId="0" applyNumberFormat="1" applyFont="1" applyFill="1" applyBorder="1" applyAlignment="1">
      <alignment horizontal="right"/>
    </xf>
    <xf numFmtId="3" fontId="10" fillId="6" borderId="53" xfId="0" applyNumberFormat="1" applyFont="1" applyFill="1" applyBorder="1" applyAlignment="1">
      <alignment horizontal="right"/>
    </xf>
    <xf numFmtId="3" fontId="10" fillId="6" borderId="54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6" borderId="2" xfId="0" applyFont="1" applyFill="1" applyBorder="1" applyAlignment="1">
      <alignment/>
    </xf>
    <xf numFmtId="0" fontId="0" fillId="6" borderId="7" xfId="0" applyFont="1" applyFill="1" applyBorder="1" applyAlignment="1">
      <alignment wrapText="1"/>
    </xf>
    <xf numFmtId="3" fontId="0" fillId="6" borderId="7" xfId="0" applyNumberFormat="1" applyFont="1" applyFill="1" applyBorder="1" applyAlignment="1">
      <alignment/>
    </xf>
    <xf numFmtId="3" fontId="0" fillId="6" borderId="55" xfId="0" applyNumberFormat="1" applyFont="1" applyFill="1" applyBorder="1" applyAlignment="1">
      <alignment/>
    </xf>
    <xf numFmtId="3" fontId="0" fillId="6" borderId="56" xfId="0" applyNumberFormat="1" applyFont="1" applyFill="1" applyBorder="1" applyAlignment="1">
      <alignment/>
    </xf>
    <xf numFmtId="3" fontId="0" fillId="6" borderId="5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26" fillId="6" borderId="6" xfId="0" applyFont="1" applyFill="1" applyBorder="1" applyAlignment="1">
      <alignment wrapText="1"/>
    </xf>
    <xf numFmtId="3" fontId="26" fillId="6" borderId="6" xfId="0" applyNumberFormat="1" applyFont="1" applyFill="1" applyBorder="1" applyAlignment="1">
      <alignment/>
    </xf>
    <xf numFmtId="3" fontId="26" fillId="6" borderId="51" xfId="0" applyNumberFormat="1" applyFont="1" applyFill="1" applyBorder="1" applyAlignment="1">
      <alignment/>
    </xf>
    <xf numFmtId="3" fontId="26" fillId="6" borderId="5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8" xfId="0" applyNumberFormat="1" applyFont="1" applyBorder="1" applyAlignment="1">
      <alignment wrapText="1"/>
    </xf>
    <xf numFmtId="3" fontId="0" fillId="0" borderId="33" xfId="0" applyNumberFormat="1" applyFont="1" applyBorder="1" applyAlignment="1">
      <alignment wrapText="1"/>
    </xf>
    <xf numFmtId="3" fontId="0" fillId="0" borderId="59" xfId="0" applyNumberFormat="1" applyFont="1" applyBorder="1" applyAlignment="1">
      <alignment wrapText="1"/>
    </xf>
    <xf numFmtId="3" fontId="0" fillId="0" borderId="60" xfId="0" applyNumberFormat="1" applyFont="1" applyBorder="1" applyAlignment="1">
      <alignment wrapText="1"/>
    </xf>
    <xf numFmtId="1" fontId="5" fillId="6" borderId="5" xfId="0" applyNumberFormat="1" applyFont="1" applyFill="1" applyBorder="1" applyAlignment="1">
      <alignment/>
    </xf>
    <xf numFmtId="3" fontId="5" fillId="6" borderId="5" xfId="0" applyNumberFormat="1" applyFont="1" applyFill="1" applyBorder="1" applyAlignment="1">
      <alignment wrapText="1"/>
    </xf>
    <xf numFmtId="3" fontId="5" fillId="6" borderId="32" xfId="0" applyNumberFormat="1" applyFont="1" applyFill="1" applyBorder="1" applyAlignment="1">
      <alignment wrapText="1"/>
    </xf>
    <xf numFmtId="3" fontId="5" fillId="6" borderId="61" xfId="0" applyNumberFormat="1" applyFont="1" applyFill="1" applyBorder="1" applyAlignment="1">
      <alignment wrapText="1"/>
    </xf>
    <xf numFmtId="3" fontId="5" fillId="6" borderId="13" xfId="0" applyNumberFormat="1" applyFont="1" applyFill="1" applyBorder="1" applyAlignment="1">
      <alignment wrapText="1"/>
    </xf>
    <xf numFmtId="3" fontId="5" fillId="6" borderId="13" xfId="0" applyNumberFormat="1" applyFont="1" applyFill="1" applyBorder="1" applyAlignment="1">
      <alignment/>
    </xf>
    <xf numFmtId="3" fontId="5" fillId="6" borderId="62" xfId="0" applyNumberFormat="1" applyFont="1" applyFill="1" applyBorder="1" applyAlignment="1">
      <alignment wrapText="1"/>
    </xf>
    <xf numFmtId="3" fontId="5" fillId="6" borderId="63" xfId="0" applyNumberFormat="1" applyFont="1" applyFill="1" applyBorder="1" applyAlignment="1">
      <alignment wrapText="1"/>
    </xf>
    <xf numFmtId="3" fontId="5" fillId="6" borderId="54" xfId="0" applyNumberFormat="1" applyFont="1" applyFill="1" applyBorder="1" applyAlignment="1">
      <alignment wrapText="1"/>
    </xf>
    <xf numFmtId="3" fontId="5" fillId="0" borderId="0" xfId="0" applyNumberFormat="1" applyFont="1" applyAlignment="1">
      <alignment/>
    </xf>
    <xf numFmtId="1" fontId="5" fillId="6" borderId="2" xfId="0" applyNumberFormat="1" applyFont="1" applyFill="1" applyBorder="1" applyAlignment="1">
      <alignment/>
    </xf>
    <xf numFmtId="3" fontId="5" fillId="6" borderId="64" xfId="0" applyNumberFormat="1" applyFont="1" applyFill="1" applyBorder="1" applyAlignment="1">
      <alignment wrapText="1"/>
    </xf>
    <xf numFmtId="1" fontId="5" fillId="6" borderId="7" xfId="0" applyNumberFormat="1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26" fillId="6" borderId="42" xfId="0" applyFont="1" applyFill="1" applyBorder="1" applyAlignment="1">
      <alignment wrapText="1"/>
    </xf>
    <xf numFmtId="3" fontId="26" fillId="6" borderId="42" xfId="0" applyNumberFormat="1" applyFont="1" applyFill="1" applyBorder="1" applyAlignment="1">
      <alignment/>
    </xf>
    <xf numFmtId="3" fontId="26" fillId="6" borderId="65" xfId="0" applyNumberFormat="1" applyFont="1" applyFill="1" applyBorder="1" applyAlignment="1">
      <alignment/>
    </xf>
    <xf numFmtId="3" fontId="26" fillId="6" borderId="66" xfId="0" applyNumberFormat="1" applyFont="1" applyFill="1" applyBorder="1" applyAlignment="1">
      <alignment/>
    </xf>
    <xf numFmtId="3" fontId="26" fillId="6" borderId="67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3" borderId="35" xfId="0" applyFont="1" applyFill="1" applyBorder="1" applyAlignment="1">
      <alignment horizontal="left" wrapText="1"/>
    </xf>
    <xf numFmtId="0" fontId="0" fillId="3" borderId="33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wrapText="1"/>
    </xf>
    <xf numFmtId="0" fontId="4" fillId="3" borderId="32" xfId="0" applyFont="1" applyFill="1" applyBorder="1" applyAlignment="1">
      <alignment/>
    </xf>
    <xf numFmtId="0" fontId="4" fillId="3" borderId="32" xfId="0" applyFont="1" applyFill="1" applyBorder="1" applyAlignment="1">
      <alignment wrapText="1"/>
    </xf>
    <xf numFmtId="0" fontId="0" fillId="6" borderId="68" xfId="0" applyFont="1" applyFill="1" applyBorder="1" applyAlignment="1">
      <alignment wrapText="1"/>
    </xf>
    <xf numFmtId="0" fontId="0" fillId="6" borderId="8" xfId="0" applyFont="1" applyFill="1" applyBorder="1" applyAlignment="1">
      <alignment wrapText="1"/>
    </xf>
    <xf numFmtId="0" fontId="4" fillId="6" borderId="5" xfId="0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right" vertical="center"/>
    </xf>
    <xf numFmtId="3" fontId="5" fillId="0" borderId="2" xfId="15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left"/>
    </xf>
    <xf numFmtId="3" fontId="5" fillId="0" borderId="69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left"/>
    </xf>
    <xf numFmtId="3" fontId="0" fillId="0" borderId="8" xfId="0" applyNumberFormat="1" applyFont="1" applyFill="1" applyBorder="1" applyAlignment="1">
      <alignment horizontal="left"/>
    </xf>
    <xf numFmtId="3" fontId="0" fillId="0" borderId="57" xfId="0" applyNumberFormat="1" applyFont="1" applyFill="1" applyBorder="1" applyAlignment="1">
      <alignment horizontal="right"/>
    </xf>
    <xf numFmtId="3" fontId="7" fillId="0" borderId="42" xfId="0" applyNumberFormat="1" applyFont="1" applyFill="1" applyBorder="1" applyAlignment="1">
      <alignment horizontal="left" wrapText="1"/>
    </xf>
    <xf numFmtId="3" fontId="7" fillId="0" borderId="7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horizontal="right" vertical="center"/>
    </xf>
    <xf numFmtId="0" fontId="4" fillId="3" borderId="61" xfId="0" applyFont="1" applyFill="1" applyBorder="1" applyAlignment="1">
      <alignment wrapText="1"/>
    </xf>
    <xf numFmtId="3" fontId="4" fillId="3" borderId="61" xfId="0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71" xfId="0" applyFont="1" applyFill="1" applyBorder="1" applyAlignment="1">
      <alignment wrapText="1"/>
    </xf>
    <xf numFmtId="3" fontId="0" fillId="3" borderId="71" xfId="0" applyNumberFormat="1" applyFont="1" applyFill="1" applyBorder="1" applyAlignment="1">
      <alignment horizontal="right" wrapText="1"/>
    </xf>
    <xf numFmtId="0" fontId="0" fillId="2" borderId="33" xfId="0" applyFont="1" applyFill="1" applyBorder="1" applyAlignment="1">
      <alignment/>
    </xf>
    <xf numFmtId="0" fontId="5" fillId="2" borderId="45" xfId="0" applyFont="1" applyFill="1" applyBorder="1" applyAlignment="1">
      <alignment wrapText="1"/>
    </xf>
    <xf numFmtId="3" fontId="5" fillId="2" borderId="45" xfId="0" applyNumberFormat="1" applyFont="1" applyFill="1" applyBorder="1" applyAlignment="1">
      <alignment horizontal="right" wrapText="1"/>
    </xf>
    <xf numFmtId="0" fontId="0" fillId="3" borderId="7" xfId="0" applyFont="1" applyFill="1" applyBorder="1" applyAlignment="1">
      <alignment/>
    </xf>
    <xf numFmtId="0" fontId="4" fillId="3" borderId="5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5" fillId="2" borderId="8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 horizontal="right"/>
    </xf>
    <xf numFmtId="3" fontId="7" fillId="0" borderId="42" xfId="0" applyNumberFormat="1" applyFont="1" applyBorder="1" applyAlignment="1">
      <alignment/>
    </xf>
    <xf numFmtId="3" fontId="0" fillId="0" borderId="69" xfId="0" applyNumberFormat="1" applyFont="1" applyFill="1" applyBorder="1" applyAlignment="1">
      <alignment horizontal="right"/>
    </xf>
    <xf numFmtId="1" fontId="0" fillId="0" borderId="38" xfId="0" applyNumberFormat="1" applyFont="1" applyFill="1" applyBorder="1" applyAlignment="1">
      <alignment horizontal="center"/>
    </xf>
    <xf numFmtId="3" fontId="0" fillId="0" borderId="60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vertical="center" wrapText="1"/>
    </xf>
    <xf numFmtId="3" fontId="0" fillId="0" borderId="34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69" xfId="0" applyNumberFormat="1" applyFont="1" applyFill="1" applyBorder="1" applyAlignment="1">
      <alignment horizontal="center"/>
    </xf>
    <xf numFmtId="3" fontId="6" fillId="0" borderId="72" xfId="0" applyNumberFormat="1" applyFont="1" applyFill="1" applyBorder="1" applyAlignment="1">
      <alignment horizontal="center"/>
    </xf>
    <xf numFmtId="3" fontId="6" fillId="0" borderId="73" xfId="0" applyNumberFormat="1" applyFont="1" applyFill="1" applyBorder="1" applyAlignment="1">
      <alignment horizontal="center"/>
    </xf>
    <xf numFmtId="3" fontId="0" fillId="0" borderId="74" xfId="0" applyNumberFormat="1" applyFont="1" applyFill="1" applyBorder="1" applyAlignment="1">
      <alignment/>
    </xf>
    <xf numFmtId="1" fontId="5" fillId="6" borderId="41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0" fontId="4" fillId="0" borderId="75" xfId="0" applyFont="1" applyBorder="1" applyAlignment="1">
      <alignment wrapText="1"/>
    </xf>
    <xf numFmtId="3" fontId="4" fillId="3" borderId="75" xfId="0" applyNumberFormat="1" applyFont="1" applyFill="1" applyBorder="1" applyAlignment="1">
      <alignment/>
    </xf>
    <xf numFmtId="3" fontId="0" fillId="3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38" xfId="0" applyNumberFormat="1" applyBorder="1" applyAlignment="1">
      <alignment/>
    </xf>
    <xf numFmtId="0" fontId="4" fillId="0" borderId="8" xfId="0" applyFont="1" applyBorder="1" applyAlignment="1">
      <alignment wrapText="1"/>
    </xf>
    <xf numFmtId="0" fontId="5" fillId="6" borderId="48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5" fillId="3" borderId="48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5" fillId="3" borderId="48" xfId="0" applyFont="1" applyFill="1" applyBorder="1" applyAlignment="1">
      <alignment horizontal="center" vertical="center" wrapText="1"/>
    </xf>
    <xf numFmtId="3" fontId="18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9-ra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247935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247935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247935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247935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247935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247935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24336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4" name="Line 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5" name="Line 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6" name="Line 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7" name="Line 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8" name="Line 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29" name="Line 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0" name="Line 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1" name="Line 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2" name="Line 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3" name="Line 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4" name="Line 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5" name="Line 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6" name="Line 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7" name="Line 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38" name="Line 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039" name="Line 15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40" name="Line 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41" name="Line 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42" name="Line 1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45" name="Line 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46" name="Line 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47" name="Line 2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86" name="Line 6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87" name="Line 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090" name="Line 6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1" name="Line 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6" name="Line 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20" name="Line 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05" name="Line 1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06" name="Line 1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207" name="Line 183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08" name="Line 18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09" name="Line 18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10" name="Line 18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3" name="Line 2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4" name="Line 2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7" name="Line 2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8" name="Line 2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3" name="Line 2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87" name="Line 36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88" name="Line 3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389" name="Line 36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0" name="Line 3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1" name="Line 3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2" name="Line 3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3" name="Line 3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4" name="Line 3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5" name="Line 3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6" name="Line 3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7" name="Line 3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8" name="Line 3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399" name="Line 3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02" name="Line 3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03" name="Line 3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04" name="Line 3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54" name="Line 4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45" name="Line 7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46" name="Line 7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47" name="Line 72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48" name="Line 7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50" name="Line 72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53" name="Line 7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55" name="Line 7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58" name="Line 7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763" name="Line 739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02" name="Line 7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06" name="Line 78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07" name="Line 78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57" name="Line 8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58" name="Line 8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61" name="Line 8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62" name="Line 8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65" name="Line 8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66" name="Line 8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69" name="Line 84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70" name="Line 84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73" name="Line 84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74" name="Line 8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77" name="Line 8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78" name="Line 8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1" name="Line 8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2" name="Line 8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5" name="Line 8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6" name="Line 8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889" name="Line 865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90" name="Line 86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93" name="Line 8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94" name="Line 87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97" name="Line 8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98" name="Line 8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1" name="Line 8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2" name="Line 8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5" name="Line 8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6" name="Line 8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09" name="Line 8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1910" name="Line 886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913" name="Line 88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14" name="Line 8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1917" name="Line 8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18" name="Line 8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1" name="Line 8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2" name="Line 8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5" name="Line 9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6" name="Line 9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29" name="Line 9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0" name="Line 9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3" name="Line 9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4" name="Line 9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7" name="Line 9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8" name="Line 9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39" name="Line 9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0" name="Line 9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1" name="Line 9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2" name="Line 9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3" name="Line 9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4" name="Line 9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5" name="Line 9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6" name="Line 9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7" name="Line 9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8" name="Line 9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49" name="Line 9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0" name="Line 9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1" name="Line 9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2" name="Line 9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3" name="Line 9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4" name="Line 9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5" name="Line 9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6" name="Line 9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7" name="Line 9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8" name="Line 9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59" name="Line 9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0" name="Line 9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1" name="Line 9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2" name="Line 9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3" name="Line 9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4" name="Line 9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5" name="Line 9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6" name="Line 9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7" name="Line 9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8" name="Line 9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69" name="Line 9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0" name="Line 9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1" name="Line 9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2" name="Line 9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3" name="Line 9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4" name="Line 9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5" name="Line 9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6" name="Line 9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7" name="Line 9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8" name="Line 9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79" name="Line 9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0" name="Line 9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1" name="Line 9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2" name="Line 9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3" name="Line 9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4" name="Line 9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5" name="Line 9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6" name="Line 9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7" name="Line 9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8" name="Line 9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89" name="Line 9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0" name="Line 9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1" name="Line 9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2" name="Line 9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3" name="Line 9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4" name="Line 9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5" name="Line 9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6" name="Line 9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7" name="Line 9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8" name="Line 9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1999" name="Line 9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0" name="Line 9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1" name="Line 9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2" name="Line 9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3" name="Line 9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4" name="Line 9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5" name="Line 9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6" name="Line 9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7" name="Line 9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8" name="Line 9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09" name="Line 9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10" name="Line 98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11" name="Line 98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12" name="Line 98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13" name="Line 98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14" name="Line 99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15" name="Line 9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16" name="Line 99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17" name="Line 9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18" name="Line 9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19" name="Line 9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20" name="Line 9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21" name="Line 9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22" name="Line 9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23" name="Line 9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8" name="Line 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49" name="Line 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0" name="Line 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1" name="Line 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2" name="Line 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3" name="Line 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4" name="Line 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5" name="Line 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6" name="Line 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7" name="Line 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8" name="Line 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59" name="Line 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60" name="Line 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61" name="Line 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062" name="Line 14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63" name="Line 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64" name="Line 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65" name="Line 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66" name="Line 1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67" name="Line 1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68" name="Line 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69" name="Line 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70" name="Line 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71" name="Line 2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72" name="Line 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73" name="Line 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74" name="Line 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75" name="Line 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76" name="Line 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77" name="Line 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78" name="Line 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79" name="Line 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80" name="Line 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81" name="Line 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82" name="Line 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083" name="Line 35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84" name="Line 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85" name="Line 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86" name="Line 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87" name="Line 3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88" name="Line 4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89" name="Line 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90" name="Line 4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91" name="Line 4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092" name="Line 4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93" name="Line 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94" name="Line 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95" name="Line 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96" name="Line 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97" name="Line 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98" name="Line 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099" name="Line 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00" name="Line 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01" name="Line 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02" name="Line 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03" name="Line 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104" name="Line 56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05" name="Line 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06" name="Line 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07" name="Line 5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08" name="Line 6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09" name="Line 6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10" name="Line 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11" name="Line 6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12" name="Line 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13" name="Line 6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14" name="Line 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15" name="Line 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16" name="Line 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17" name="Line 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18" name="Line 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19" name="Line 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20" name="Line 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21" name="Line 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22" name="Line 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23" name="Line 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24" name="Line 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125" name="Line 77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26" name="Line 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27" name="Line 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28" name="Line 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29" name="Line 8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30" name="Line 8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31" name="Line 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32" name="Line 8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33" name="Line 8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34" name="Line 8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35" name="Line 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36" name="Line 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37" name="Line 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38" name="Line 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39" name="Line 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40" name="Line 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41" name="Line 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42" name="Line 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43" name="Line 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44" name="Line 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45" name="Line 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146" name="Line 98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47" name="Line 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48" name="Line 1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49" name="Line 10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50" name="Line 10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51" name="Line 10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52" name="Line 1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53" name="Line 1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54" name="Line 1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55" name="Line 1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56" name="Line 1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57" name="Line 1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58" name="Line 1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59" name="Line 1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60" name="Line 1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61" name="Line 1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62" name="Line 1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63" name="Line 1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64" name="Line 1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65" name="Line 1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66" name="Line 1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167" name="Line 119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68" name="Line 1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69" name="Line 1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70" name="Line 1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1" name="Line 1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72" name="Line 12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3" name="Line 1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74" name="Line 12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5" name="Line 1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6" name="Line 1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7" name="Line 1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8" name="Line 1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79" name="Line 1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0" name="Line 1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1" name="Line 1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2" name="Line 1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3" name="Line 1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4" name="Line 1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5" name="Line 1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6" name="Line 1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87" name="Line 1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188" name="Line 140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89" name="Line 14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90" name="Line 14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91" name="Line 14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92" name="Line 1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93" name="Line 14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94" name="Line 1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195" name="Line 14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96" name="Line 1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97" name="Line 1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98" name="Line 1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199" name="Line 1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00" name="Line 1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01" name="Line 1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02" name="Line 1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03" name="Line 1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04" name="Line 1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05" name="Line 1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06" name="Line 1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07" name="Line 1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08" name="Line 1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209" name="Line 161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10" name="Line 16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11" name="Line 16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12" name="Line 16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13" name="Line 1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14" name="Line 16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15" name="Line 1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16" name="Line 16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17" name="Line 1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18" name="Line 1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19" name="Line 1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0" name="Line 1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1" name="Line 1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2" name="Line 1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3" name="Line 1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4" name="Line 1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5" name="Line 1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6" name="Line 1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7" name="Line 1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8" name="Line 1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29" name="Line 1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230" name="Line 182"/>
        <xdr:cNvSpPr>
          <a:spLocks/>
        </xdr:cNvSpPr>
      </xdr:nvSpPr>
      <xdr:spPr>
        <a:xfrm>
          <a:off x="38100" y="371475"/>
          <a:ext cx="3943350" cy="6477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31" name="Line 18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32" name="Line 18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33" name="Line 18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34" name="Line 1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35" name="Line 18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36" name="Line 1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37" name="Line 18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38" name="Line 1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39" name="Line 1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0" name="Line 1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1" name="Line 1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2" name="Line 1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3" name="Line 1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4" name="Line 1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5" name="Line 1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6" name="Line 1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7" name="Line 1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8" name="Line 2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49" name="Line 2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50" name="Line 2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51" name="Line 2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52" name="Line 2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53" name="Line 2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54" name="Line 2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55" name="Line 20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56" name="Line 2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257" name="Line 2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58" name="Line 2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59" name="Line 2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0" name="Line 2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1" name="Line 2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2" name="Line 2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3" name="Line 2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4" name="Line 2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5" name="Line 2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6" name="Line 2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7" name="Line 2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8" name="Line 2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69" name="Line 2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0" name="Line 2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1" name="Line 2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2" name="Line 2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3" name="Line 2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4" name="Line 2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5" name="Line 2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6" name="Line 2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7" name="Line 2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8" name="Line 2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79" name="Line 2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0" name="Line 2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1" name="Line 2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2" name="Line 2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3" name="Line 2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4" name="Line 2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5" name="Line 2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6" name="Line 2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7" name="Line 2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8" name="Line 2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89" name="Line 2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0" name="Line 2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1" name="Line 2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2" name="Line 2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3" name="Line 2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4" name="Line 2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5" name="Line 2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6" name="Line 2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7" name="Line 2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8" name="Line 2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299" name="Line 2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0" name="Line 2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1" name="Line 2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2" name="Line 2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3" name="Line 2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4" name="Line 2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5" name="Line 2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6" name="Line 2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7" name="Line 2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8" name="Line 2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09" name="Line 2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0" name="Line 2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1" name="Line 2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2" name="Line 2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3" name="Line 2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4" name="Line 2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5" name="Line 2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6" name="Line 2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7" name="Line 2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8" name="Line 2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19" name="Line 2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0" name="Line 2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1" name="Line 2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2" name="Line 2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3" name="Line 2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4" name="Line 2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5" name="Line 2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6" name="Line 2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7" name="Line 2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8" name="Line 2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29" name="Line 2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0" name="Line 2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1" name="Line 2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2" name="Line 2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3" name="Line 2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4" name="Line 2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5" name="Line 2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6" name="Line 2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7" name="Line 2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8" name="Line 2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39" name="Line 2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0" name="Line 2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1" name="Line 2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2" name="Line 2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3" name="Line 2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4" name="Line 2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5" name="Line 2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6" name="Line 2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7" name="Line 3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8" name="Line 3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49" name="Line 3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350" name="Line 303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51" name="Line 3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52" name="Line 30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53" name="Line 30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54" name="Line 30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55" name="Line 30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56" name="Line 3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57" name="Line 3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58" name="Line 3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59" name="Line 31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0" name="Line 3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1" name="Line 3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2" name="Line 3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3" name="Line 3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4" name="Line 3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5" name="Line 3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6" name="Line 3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7" name="Line 3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8" name="Line 3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69" name="Line 3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70" name="Line 3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371" name="Line 324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72" name="Line 32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73" name="Line 32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74" name="Line 32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75" name="Line 32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76" name="Line 32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77" name="Line 3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78" name="Line 33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79" name="Line 33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80" name="Line 33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1" name="Line 3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2" name="Line 3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3" name="Line 3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4" name="Line 3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5" name="Line 3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6" name="Line 3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7" name="Line 3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8" name="Line 3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89" name="Line 3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90" name="Line 3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91" name="Line 3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392" name="Line 345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93" name="Line 34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94" name="Line 34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95" name="Line 34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96" name="Line 34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97" name="Line 35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398" name="Line 3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399" name="Line 35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00" name="Line 35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01" name="Line 35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02" name="Line 3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03" name="Line 3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04" name="Line 3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05" name="Line 3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06" name="Line 3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07" name="Line 3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08" name="Line 3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09" name="Line 3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10" name="Line 3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11" name="Line 3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12" name="Line 3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413" name="Line 366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14" name="Line 36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15" name="Line 36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16" name="Line 36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17" name="Line 37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18" name="Line 37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19" name="Line 3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20" name="Line 37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21" name="Line 37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22" name="Line 37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23" name="Line 3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24" name="Line 3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25" name="Line 3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26" name="Line 3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27" name="Line 3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28" name="Line 3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29" name="Line 3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30" name="Line 3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31" name="Line 3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32" name="Line 3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33" name="Line 3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434" name="Line 387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35" name="Line 38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36" name="Line 38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37" name="Line 39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38" name="Line 39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39" name="Line 39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40" name="Line 3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41" name="Line 3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42" name="Line 3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43" name="Line 39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44" name="Line 3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45" name="Line 3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46" name="Line 3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47" name="Line 4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48" name="Line 4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49" name="Line 4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50" name="Line 4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51" name="Line 4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52" name="Line 4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53" name="Line 4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54" name="Line 4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455" name="Line 408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56" name="Line 40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57" name="Line 4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58" name="Line 4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59" name="Line 41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60" name="Line 41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61" name="Line 4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62" name="Line 4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63" name="Line 4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64" name="Line 4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65" name="Line 4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66" name="Line 4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67" name="Line 4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68" name="Line 4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69" name="Line 4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70" name="Line 4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71" name="Line 4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72" name="Line 4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73" name="Line 4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74" name="Line 4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75" name="Line 4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476" name="Line 429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77" name="Line 43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78" name="Line 43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79" name="Line 43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80" name="Line 43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81" name="Line 43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82" name="Line 4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83" name="Line 4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84" name="Line 4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85" name="Line 4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86" name="Line 4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87" name="Line 4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88" name="Line 4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89" name="Line 4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0" name="Line 4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1" name="Line 4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2" name="Line 4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3" name="Line 4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4" name="Line 4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5" name="Line 4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496" name="Line 4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497" name="Line 450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98" name="Line 45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499" name="Line 45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00" name="Line 45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01" name="Line 4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02" name="Line 45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03" name="Line 4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04" name="Line 4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05" name="Line 4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06" name="Line 4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07" name="Line 4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08" name="Line 4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09" name="Line 4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0" name="Line 4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1" name="Line 4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2" name="Line 4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3" name="Line 4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4" name="Line 4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5" name="Line 4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6" name="Line 4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17" name="Line 4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518" name="Line 471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19" name="Line 47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20" name="Line 47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21" name="Line 47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22" name="Line 4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23" name="Line 47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24" name="Line 4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25" name="Line 4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26" name="Line 4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27" name="Line 4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28" name="Line 4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29" name="Line 4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0" name="Line 4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1" name="Line 4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2" name="Line 4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3" name="Line 4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4" name="Line 4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5" name="Line 4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6" name="Line 4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7" name="Line 4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38" name="Line 4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539" name="Line 492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40" name="Line 4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41" name="Line 4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42" name="Line 4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43" name="Line 4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44" name="Line 49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45" name="Line 4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46" name="Line 4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47" name="Line 5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48" name="Line 5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49" name="Line 5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0" name="Line 5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1" name="Line 5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2" name="Line 5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3" name="Line 5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4" name="Line 5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5" name="Line 5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6" name="Line 5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7" name="Line 5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8" name="Line 5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59" name="Line 5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560" name="Line 513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61" name="Line 51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62" name="Line 5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63" name="Line 5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64" name="Line 5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65" name="Line 51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66" name="Line 5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67" name="Line 5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68" name="Line 5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69" name="Line 5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0" name="Line 5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1" name="Line 5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2" name="Line 5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3" name="Line 5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4" name="Line 5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5" name="Line 5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6" name="Line 5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7" name="Line 5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8" name="Line 5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79" name="Line 5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80" name="Line 5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581" name="Line 534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82" name="Line 53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83" name="Line 5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84" name="Line 5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85" name="Line 5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86" name="Line 53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87" name="Line 5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588" name="Line 54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89" name="Line 5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0" name="Line 5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1" name="Line 5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2" name="Line 5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3" name="Line 5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4" name="Line 5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5" name="Line 5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6" name="Line 5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7" name="Line 5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8" name="Line 5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599" name="Line 5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0" name="Line 5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1" name="Line 5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2" name="Line 5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3" name="Line 5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4" name="Line 5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5" name="Line 5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6" name="Line 5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7" name="Line 5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8" name="Line 5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09" name="Line 5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0" name="Line 5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1" name="Line 5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2" name="Line 5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3" name="Line 5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4" name="Line 5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5" name="Line 5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6" name="Line 5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7" name="Line 5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8" name="Line 5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19" name="Line 5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0" name="Line 5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1" name="Line 5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2" name="Line 5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3" name="Line 5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4" name="Line 5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5" name="Line 5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6" name="Line 5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7" name="Line 5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8" name="Line 5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29" name="Line 5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0" name="Line 5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1" name="Line 5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2" name="Line 5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3" name="Line 5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4" name="Line 5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5" name="Line 5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6" name="Line 5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7" name="Line 5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8" name="Line 5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39" name="Line 5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0" name="Line 5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1" name="Line 5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2" name="Line 5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3" name="Line 5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4" name="Line 5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5" name="Line 5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6" name="Line 5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7" name="Line 6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8" name="Line 6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49" name="Line 6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0" name="Line 6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1" name="Line 6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2" name="Line 6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3" name="Line 6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4" name="Line 6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5" name="Line 6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6" name="Line 6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7" name="Line 6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8" name="Line 6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59" name="Line 6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0" name="Line 6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1" name="Line 6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2" name="Line 6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3" name="Line 6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4" name="Line 6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5" name="Line 6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6" name="Line 6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7" name="Line 6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8" name="Line 6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69" name="Line 6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0" name="Line 6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1" name="Line 6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2" name="Line 6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3" name="Line 6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4" name="Line 6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5" name="Line 6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6" name="Line 6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7" name="Line 6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8" name="Line 6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79" name="Line 6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0" name="Line 6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1" name="Line 6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2" name="Line 6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3" name="Line 6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4" name="Line 6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5" name="Line 6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6" name="Line 6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7" name="Line 6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8" name="Line 6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89" name="Line 6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90" name="Line 6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91" name="Line 6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92" name="Line 6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693" name="Line 646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694" name="Line 64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695" name="Line 64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696" name="Line 64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697" name="Line 65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698" name="Line 65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699" name="Line 6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00" name="Line 65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01" name="Line 65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02" name="Line 65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03" name="Line 6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04" name="Line 6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05" name="Line 6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06" name="Line 6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07" name="Line 6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08" name="Line 6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09" name="Line 6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10" name="Line 6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11" name="Line 6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12" name="Line 6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13" name="Line 6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714" name="Line 667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15" name="Line 66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16" name="Line 66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17" name="Line 67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18" name="Line 67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19" name="Line 67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20" name="Line 6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21" name="Line 67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22" name="Line 67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23" name="Line 67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24" name="Line 6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25" name="Line 6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26" name="Line 6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27" name="Line 6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28" name="Line 6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29" name="Line 6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30" name="Line 6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31" name="Line 6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32" name="Line 6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33" name="Line 6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34" name="Line 6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735" name="Line 688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36" name="Line 68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37" name="Line 69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38" name="Line 69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39" name="Line 69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40" name="Line 6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41" name="Line 6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42" name="Line 6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43" name="Line 69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44" name="Line 69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45" name="Line 6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46" name="Line 6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47" name="Line 7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48" name="Line 7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49" name="Line 7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50" name="Line 7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51" name="Line 7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52" name="Line 7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53" name="Line 7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54" name="Line 7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55" name="Line 7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756" name="Line 709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57" name="Line 7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58" name="Line 7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59" name="Line 71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60" name="Line 71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61" name="Line 71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62" name="Line 7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63" name="Line 7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64" name="Line 7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65" name="Line 71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66" name="Line 7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67" name="Line 7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68" name="Line 7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69" name="Line 7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70" name="Line 7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71" name="Line 7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72" name="Line 7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73" name="Line 7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74" name="Line 7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75" name="Line 7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76" name="Line 7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777" name="Line 730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78" name="Line 73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79" name="Line 73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80" name="Line 73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81" name="Line 73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82" name="Line 73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83" name="Line 7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84" name="Line 7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85" name="Line 7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86" name="Line 73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87" name="Line 7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88" name="Line 7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89" name="Line 7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0" name="Line 7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1" name="Line 7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2" name="Line 7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3" name="Line 7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4" name="Line 7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5" name="Line 7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6" name="Line 7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797" name="Line 7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798" name="Line 751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799" name="Line 75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00" name="Line 75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01" name="Line 75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02" name="Line 75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03" name="Line 75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04" name="Line 7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05" name="Line 7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06" name="Line 75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07" name="Line 76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08" name="Line 7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09" name="Line 7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0" name="Line 7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1" name="Line 7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2" name="Line 7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3" name="Line 7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4" name="Line 7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5" name="Line 7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6" name="Line 7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7" name="Line 7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18" name="Line 7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819" name="Line 772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20" name="Line 77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21" name="Line 77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22" name="Line 77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23" name="Line 77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24" name="Line 77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25" name="Line 7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26" name="Line 7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27" name="Line 7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28" name="Line 78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29" name="Line 7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0" name="Line 7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1" name="Line 7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2" name="Line 7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3" name="Line 7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4" name="Line 7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5" name="Line 7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6" name="Line 7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7" name="Line 7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8" name="Line 7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39" name="Line 7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840" name="Line 793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41" name="Line 7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42" name="Line 7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43" name="Line 79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44" name="Line 7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45" name="Line 79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46" name="Line 7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47" name="Line 8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48" name="Line 8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49" name="Line 8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0" name="Line 8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1" name="Line 8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2" name="Line 8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3" name="Line 8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4" name="Line 8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5" name="Line 8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6" name="Line 8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7" name="Line 8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8" name="Line 8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59" name="Line 8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60" name="Line 8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861" name="Line 814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62" name="Line 8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63" name="Line 8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64" name="Line 8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65" name="Line 8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66" name="Line 81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67" name="Line 8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68" name="Line 8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69" name="Line 8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0" name="Line 8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1" name="Line 8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2" name="Line 8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3" name="Line 8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4" name="Line 8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5" name="Line 8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6" name="Line 8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7" name="Line 8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8" name="Line 8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79" name="Line 8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80" name="Line 8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81" name="Line 8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882" name="Line 835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83" name="Line 8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84" name="Line 8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85" name="Line 8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86" name="Line 8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87" name="Line 84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88" name="Line 8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889" name="Line 84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0" name="Line 8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1" name="Line 8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2" name="Line 8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3" name="Line 8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4" name="Line 8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5" name="Line 8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6" name="Line 8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7" name="Line 8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8" name="Line 8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899" name="Line 8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00" name="Line 8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01" name="Line 8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02" name="Line 8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903" name="Line 856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04" name="Line 8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05" name="Line 8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06" name="Line 85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07" name="Line 8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08" name="Line 86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09" name="Line 8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10" name="Line 86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1" name="Line 8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2" name="Line 8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3" name="Line 8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4" name="Line 8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5" name="Line 8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6" name="Line 8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7" name="Line 8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8" name="Line 8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19" name="Line 8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20" name="Line 8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21" name="Line 8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22" name="Line 8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23" name="Line 8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2924" name="Line 877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25" name="Line 8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26" name="Line 8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27" name="Line 8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28" name="Line 8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29" name="Line 88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30" name="Line 8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2931" name="Line 88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32" name="Line 8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33" name="Line 8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34" name="Line 8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35" name="Line 8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36" name="Line 8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37" name="Line 8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38" name="Line 8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39" name="Line 8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0" name="Line 8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1" name="Line 8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2" name="Line 8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3" name="Line 8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4" name="Line 8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5" name="Line 8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6" name="Line 8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7" name="Line 9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8" name="Line 9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49" name="Line 9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0" name="Line 9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1" name="Line 9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2" name="Line 9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3" name="Line 9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4" name="Line 9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5" name="Line 9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6" name="Line 9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7" name="Line 9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8" name="Line 9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59" name="Line 9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0" name="Line 9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1" name="Line 9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2" name="Line 9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3" name="Line 9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4" name="Line 9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5" name="Line 9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6" name="Line 9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7" name="Line 9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8" name="Line 9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69" name="Line 9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0" name="Line 9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1" name="Line 9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2" name="Line 9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3" name="Line 9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4" name="Line 9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5" name="Line 9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6" name="Line 9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7" name="Line 9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8" name="Line 9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79" name="Line 9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0" name="Line 9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1" name="Line 9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2" name="Line 9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3" name="Line 9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4" name="Line 9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5" name="Line 9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6" name="Line 9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7" name="Line 9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8" name="Line 9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89" name="Line 9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0" name="Line 9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1" name="Line 9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2" name="Line 9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3" name="Line 9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4" name="Line 9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5" name="Line 9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6" name="Line 9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7" name="Line 9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8" name="Line 9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2999" name="Line 9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0" name="Line 9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1" name="Line 9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2" name="Line 9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3" name="Line 9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4" name="Line 9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5" name="Line 9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6" name="Line 9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7" name="Line 9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8" name="Line 9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09" name="Line 9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0" name="Line 9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1" name="Line 9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2" name="Line 9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3" name="Line 9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4" name="Line 9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5" name="Line 9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6" name="Line 9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7" name="Line 9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8" name="Line 9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19" name="Line 9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0" name="Line 9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1" name="Line 9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2" name="Line 9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3" name="Line 9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4" name="Line 9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5" name="Line 9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6" name="Line 9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7" name="Line 9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8" name="Line 9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29" name="Line 9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30" name="Line 9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31" name="Line 9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32" name="Line 9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33" name="Line 9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34" name="Line 9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35" name="Line 9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036" name="Line 989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37" name="Line 99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38" name="Line 99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39" name="Line 99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40" name="Line 9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41" name="Line 9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42" name="Line 9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43" name="Line 99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44" name="Line 99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45" name="Line 99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46" name="Line 9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47" name="Line 10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48" name="Line 10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49" name="Line 10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50" name="Line 10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51" name="Line 10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52" name="Line 10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53" name="Line 10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54" name="Line 10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55" name="Line 10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56" name="Line 10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057" name="Line 1010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58" name="Line 10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59" name="Line 101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60" name="Line 101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61" name="Line 101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62" name="Line 10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63" name="Line 10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64" name="Line 10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65" name="Line 101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66" name="Line 101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67" name="Line 10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68" name="Line 10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69" name="Line 10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70" name="Line 10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71" name="Line 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72" name="Line 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73" name="Line 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74" name="Line 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75" name="Line 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76" name="Line 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77" name="Line 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078" name="Line 7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79" name="Line 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80" name="Line 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81" name="Line 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82" name="Line 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83" name="Line 1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84" name="Line 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85" name="Line 1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86" name="Line 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087" name="Line 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88" name="Line 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89" name="Line 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0" name="Line 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1" name="Line 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2" name="Line 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3" name="Line 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4" name="Line 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5" name="Line 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6" name="Line 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7" name="Line 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098" name="Line 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099" name="Line 28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00" name="Line 2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01" name="Line 3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02" name="Line 3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03" name="Line 3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04" name="Line 3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05" name="Line 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06" name="Line 3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07" name="Line 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08" name="Line 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09" name="Line 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0" name="Line 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1" name="Line 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2" name="Line 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3" name="Line 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4" name="Line 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5" name="Line 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6" name="Line 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7" name="Line 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8" name="Line 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19" name="Line 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120" name="Line 49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21" name="Line 5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22" name="Line 5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23" name="Line 5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24" name="Line 5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25" name="Line 5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26" name="Line 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27" name="Line 5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28" name="Line 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29" name="Line 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0" name="Line 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1" name="Line 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2" name="Line 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3" name="Line 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4" name="Line 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5" name="Line 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6" name="Line 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7" name="Line 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8" name="Line 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39" name="Line 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40" name="Line 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141" name="Line 70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42" name="Line 7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43" name="Line 7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44" name="Line 7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45" name="Line 7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46" name="Line 7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47" name="Line 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48" name="Line 7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49" name="Line 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50" name="Line 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51" name="Line 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52" name="Line 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53" name="Line 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54" name="Line 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55" name="Line 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56" name="Line 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57" name="Line 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58" name="Line 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59" name="Line 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60" name="Line 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61" name="Line 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162" name="Line 91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63" name="Line 9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64" name="Line 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65" name="Line 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66" name="Line 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67" name="Line 9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68" name="Line 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69" name="Line 9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70" name="Line 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71" name="Line 1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72" name="Line 1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73" name="Line 1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74" name="Line 1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75" name="Line 1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76" name="Line 1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77" name="Line 1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78" name="Line 1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79" name="Line 1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80" name="Line 1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81" name="Line 1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82" name="Line 1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183" name="Line 112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84" name="Line 11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85" name="Line 11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86" name="Line 1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87" name="Line 1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88" name="Line 1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89" name="Line 1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90" name="Line 11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1" name="Line 1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2" name="Line 1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3" name="Line 1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4" name="Line 1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5" name="Line 1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6" name="Line 1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7" name="Line 1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8" name="Line 1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199" name="Line 1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00" name="Line 1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01" name="Line 1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02" name="Line 1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03" name="Line 1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204" name="Line 133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05" name="Line 13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06" name="Line 13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07" name="Line 1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08" name="Line 1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09" name="Line 1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0" name="Line 1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11" name="Line 14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2" name="Line 1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3" name="Line 1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4" name="Line 1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5" name="Line 1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6" name="Line 1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7" name="Line 1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8" name="Line 1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19" name="Line 1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20" name="Line 1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21" name="Line 1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22" name="Line 1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23" name="Line 1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24" name="Line 1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225" name="Line 154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26" name="Line 15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27" name="Line 15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28" name="Line 1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29" name="Line 1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30" name="Line 15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31" name="Line 1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32" name="Line 16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33" name="Line 1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34" name="Line 1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35" name="Line 1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36" name="Line 1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37" name="Line 1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38" name="Line 1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39" name="Line 1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40" name="Line 1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41" name="Line 1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42" name="Line 1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43" name="Line 1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44" name="Line 1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45" name="Line 1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246" name="Line 175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47" name="Line 17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48" name="Line 17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49" name="Line 1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50" name="Line 1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51" name="Line 1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52" name="Line 1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53" name="Line 18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54" name="Line 1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55" name="Line 1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56" name="Line 1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57" name="Line 1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58" name="Line 1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59" name="Line 1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60" name="Line 1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61" name="Line 1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62" name="Line 1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63" name="Line 1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64" name="Line 1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65" name="Line 1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66" name="Line 1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267" name="Line 196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68" name="Line 19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69" name="Line 19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70" name="Line 1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71" name="Line 2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72" name="Line 20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73" name="Line 2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274" name="Line 20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75" name="Line 2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76" name="Line 2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77" name="Line 2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78" name="Line 2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79" name="Line 2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0" name="Line 2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1" name="Line 2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2" name="Line 2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3" name="Line 2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4" name="Line 2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5" name="Line 2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6" name="Line 2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7" name="Line 2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8" name="Line 2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89" name="Line 2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0" name="Line 2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1" name="Line 2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2" name="Line 2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3" name="Line 2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4" name="Line 2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5" name="Line 2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6" name="Line 2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7" name="Line 2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8" name="Line 2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299" name="Line 2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0" name="Line 2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1" name="Line 2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2" name="Line 2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3" name="Line 2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4" name="Line 2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5" name="Line 2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6" name="Line 2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7" name="Line 2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8" name="Line 2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09" name="Line 2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0" name="Line 2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1" name="Line 2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2" name="Line 2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3" name="Line 2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4" name="Line 2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5" name="Line 2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6" name="Line 2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7" name="Line 2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8" name="Line 2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19" name="Line 2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0" name="Line 2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1" name="Line 2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2" name="Line 2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3" name="Line 2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4" name="Line 2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5" name="Line 2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6" name="Line 2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7" name="Line 2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8" name="Line 2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29" name="Line 2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0" name="Line 2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1" name="Line 2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2" name="Line 2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3" name="Line 2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4" name="Line 2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5" name="Line 2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6" name="Line 2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7" name="Line 2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8" name="Line 2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39" name="Line 2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0" name="Line 2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1" name="Line 2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2" name="Line 2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3" name="Line 2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4" name="Line 2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5" name="Line 2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6" name="Line 2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7" name="Line 2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8" name="Line 2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49" name="Line 2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0" name="Line 2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1" name="Line 2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2" name="Line 2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3" name="Line 2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4" name="Line 2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5" name="Line 2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6" name="Line 2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7" name="Line 2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8" name="Line 2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59" name="Line 2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0" name="Line 2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1" name="Line 2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2" name="Line 2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3" name="Line 2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4" name="Line 2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5" name="Line 2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6" name="Line 2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7" name="Line 2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8" name="Line 2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69" name="Line 2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70" name="Line 2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71" name="Line 3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72" name="Line 3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73" name="Line 3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74" name="Line 3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75" name="Line 3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76" name="Line 3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77" name="Line 3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78" name="Line 3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379" name="Line 308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80" name="Line 30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81" name="Line 31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82" name="Line 31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83" name="Line 31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84" name="Line 31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85" name="Line 3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86" name="Line 3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87" name="Line 3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388" name="Line 3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89" name="Line 3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0" name="Line 3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1" name="Line 3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2" name="Line 3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3" name="Line 3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4" name="Line 3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5" name="Line 3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6" name="Line 3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7" name="Line 3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8" name="Line 3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399" name="Line 3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400" name="Line 329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01" name="Line 33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02" name="Line 33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03" name="Line 33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04" name="Line 33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05" name="Line 33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06" name="Line 3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07" name="Line 3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08" name="Line 3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09" name="Line 3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0" name="Line 3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1" name="Line 3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2" name="Line 3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3" name="Line 3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4" name="Line 3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5" name="Line 3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6" name="Line 3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7" name="Line 3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8" name="Line 3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19" name="Line 3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20" name="Line 3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421" name="Line 350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22" name="Line 35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23" name="Line 35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24" name="Line 35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25" name="Line 35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26" name="Line 35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27" name="Line 3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28" name="Line 3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29" name="Line 3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30" name="Line 35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1" name="Line 3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2" name="Line 3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3" name="Line 3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4" name="Line 3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5" name="Line 3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6" name="Line 3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7" name="Line 3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8" name="Line 3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39" name="Line 3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40" name="Line 3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41" name="Line 3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442" name="Line 371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43" name="Line 37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44" name="Line 37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45" name="Line 37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46" name="Line 37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47" name="Line 37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48" name="Line 3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49" name="Line 3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50" name="Line 3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51" name="Line 38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52" name="Line 3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53" name="Line 3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54" name="Line 3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55" name="Line 3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56" name="Line 3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57" name="Line 3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58" name="Line 3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59" name="Line 3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60" name="Line 3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61" name="Line 3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62" name="Line 3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463" name="Line 392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64" name="Line 39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65" name="Line 39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66" name="Line 39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67" name="Line 39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68" name="Line 39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69" name="Line 3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70" name="Line 3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71" name="Line 4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72" name="Line 40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73" name="Line 4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74" name="Line 4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75" name="Line 4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76" name="Line 4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77" name="Line 4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78" name="Line 4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79" name="Line 4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80" name="Line 4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81" name="Line 4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82" name="Line 4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83" name="Line 4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484" name="Line 413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85" name="Line 41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86" name="Line 41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87" name="Line 41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88" name="Line 41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89" name="Line 41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90" name="Line 4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91" name="Line 4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92" name="Line 4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493" name="Line 42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94" name="Line 4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95" name="Line 4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96" name="Line 4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97" name="Line 4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98" name="Line 4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499" name="Line 4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00" name="Line 4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01" name="Line 4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02" name="Line 4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03" name="Line 4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04" name="Line 4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505" name="Line 434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06" name="Line 43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07" name="Line 43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08" name="Line 43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09" name="Line 43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10" name="Line 43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11" name="Line 4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12" name="Line 44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13" name="Line 44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14" name="Line 44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15" name="Line 4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16" name="Line 4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17" name="Line 4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18" name="Line 4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19" name="Line 4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20" name="Line 4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21" name="Line 4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22" name="Line 4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23" name="Line 4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24" name="Line 4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25" name="Line 4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526" name="Line 455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27" name="Line 45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28" name="Line 45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29" name="Line 45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30" name="Line 4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31" name="Line 46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32" name="Line 4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33" name="Line 46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34" name="Line 4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35" name="Line 4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36" name="Line 4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37" name="Line 4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38" name="Line 4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39" name="Line 4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40" name="Line 4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41" name="Line 4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42" name="Line 4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43" name="Line 4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44" name="Line 4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45" name="Line 4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46" name="Line 4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547" name="Line 476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48" name="Line 477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49" name="Line 47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50" name="Line 47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51" name="Line 4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52" name="Line 48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53" name="Line 4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54" name="Line 48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55" name="Line 4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56" name="Line 4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57" name="Line 4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58" name="Line 4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59" name="Line 4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60" name="Line 4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61" name="Line 4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62" name="Line 4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63" name="Line 4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64" name="Line 4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65" name="Line 4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66" name="Line 4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67" name="Line 4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568" name="Line 497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69" name="Line 498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70" name="Line 49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71" name="Line 50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72" name="Line 5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73" name="Line 50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74" name="Line 5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75" name="Line 50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76" name="Line 5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77" name="Line 5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78" name="Line 5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79" name="Line 5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80" name="Line 5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81" name="Line 5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82" name="Line 5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83" name="Line 5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84" name="Line 5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85" name="Line 5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86" name="Line 5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87" name="Line 5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88" name="Line 5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589" name="Line 518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90" name="Line 519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91" name="Line 52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92" name="Line 52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93" name="Line 5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94" name="Line 523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95" name="Line 5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596" name="Line 525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97" name="Line 5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98" name="Line 5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599" name="Line 5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0" name="Line 5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1" name="Line 5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2" name="Line 5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3" name="Line 5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4" name="Line 5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5" name="Line 5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6" name="Line 5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7" name="Line 5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8" name="Line 5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09" name="Line 5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2</xdr:col>
      <xdr:colOff>0</xdr:colOff>
      <xdr:row>6</xdr:row>
      <xdr:rowOff>0</xdr:rowOff>
    </xdr:to>
    <xdr:sp>
      <xdr:nvSpPr>
        <xdr:cNvPr id="3610" name="Line 539"/>
        <xdr:cNvSpPr>
          <a:spLocks/>
        </xdr:cNvSpPr>
      </xdr:nvSpPr>
      <xdr:spPr>
        <a:xfrm>
          <a:off x="38100" y="400050"/>
          <a:ext cx="39433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611" name="Line 540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612" name="Line 541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613" name="Line 542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14" name="Line 5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615" name="Line 544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16" name="Line 5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617" name="Line 546"/>
        <xdr:cNvSpPr>
          <a:spLocks/>
        </xdr:cNvSpPr>
      </xdr:nvSpPr>
      <xdr:spPr>
        <a:xfrm>
          <a:off x="38100" y="2363152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18" name="Line 5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19" name="Line 5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0" name="Line 5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1" name="Line 5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2" name="Line 5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3" name="Line 5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4" name="Line 5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5" name="Line 5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6" name="Line 5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7" name="Line 5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8" name="Line 5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29" name="Line 5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0" name="Line 5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1" name="Line 5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2" name="Line 5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3" name="Line 5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4" name="Line 5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5" name="Line 5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6" name="Line 5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7" name="Line 5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8" name="Line 5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39" name="Line 5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0" name="Line 5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1" name="Line 5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2" name="Line 5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3" name="Line 5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4" name="Line 5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5" name="Line 5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6" name="Line 5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7" name="Line 5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8" name="Line 5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49" name="Line 5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0" name="Line 5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1" name="Line 5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2" name="Line 5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3" name="Line 5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4" name="Line 5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5" name="Line 5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6" name="Line 5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7" name="Line 5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8" name="Line 5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59" name="Line 5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0" name="Line 5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1" name="Line 5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2" name="Line 5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3" name="Line 5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4" name="Line 5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5" name="Line 5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6" name="Line 5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7" name="Line 5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8" name="Line 5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69" name="Line 5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0" name="Line 5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1" name="Line 6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2" name="Line 6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3" name="Line 6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4" name="Line 6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5" name="Line 6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6" name="Line 6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7" name="Line 6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8" name="Line 6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79" name="Line 6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0" name="Line 6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1" name="Line 6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2" name="Line 6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3" name="Line 6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4" name="Line 6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5" name="Line 6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6" name="Line 6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7" name="Line 6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8" name="Line 6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89" name="Line 6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0" name="Line 6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1" name="Line 6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2" name="Line 6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3" name="Line 6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4" name="Line 6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5" name="Line 6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6" name="Line 6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7" name="Line 6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8" name="Line 6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699" name="Line 6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0" name="Line 6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1" name="Line 6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2" name="Line 6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3" name="Line 6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4" name="Line 6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5" name="Line 6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6" name="Line 6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7" name="Line 6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8" name="Line 6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09" name="Line 6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0" name="Line 6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1" name="Line 6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2" name="Line 6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3" name="Line 6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4" name="Line 6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5" name="Line 6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6" name="Line 6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7" name="Line 6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8" name="Line 6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19" name="Line 6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0" name="Line 6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1" name="Line 6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2" name="Line 6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3" name="Line 6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4" name="Line 6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5" name="Line 6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6" name="Line 6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7" name="Line 6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8" name="Line 6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29" name="Line 6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0" name="Line 6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1" name="Line 6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2" name="Line 6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3" name="Line 6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4" name="Line 6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5" name="Line 6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6" name="Line 6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7" name="Line 6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8" name="Line 6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39" name="Line 6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0" name="Line 6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1" name="Line 6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2" name="Line 6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3" name="Line 6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4" name="Line 6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5" name="Line 6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6" name="Line 6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7" name="Line 6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8" name="Line 6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49" name="Line 6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0" name="Line 6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1" name="Line 6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2" name="Line 6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3" name="Line 6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4" name="Line 6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5" name="Line 6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6" name="Line 6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7" name="Line 6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8" name="Line 6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59" name="Line 6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0" name="Line 6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1" name="Line 6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2" name="Line 6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3" name="Line 6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4" name="Line 6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5" name="Line 6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6" name="Line 6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7" name="Line 6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8" name="Line 6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69" name="Line 6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0" name="Line 6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1" name="Line 7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2" name="Line 7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3" name="Line 7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4" name="Line 7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5" name="Line 7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6" name="Line 7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7" name="Line 7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8" name="Line 7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79" name="Line 7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0" name="Line 7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1" name="Line 7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2" name="Line 7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3" name="Line 7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4" name="Line 7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5" name="Line 7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6" name="Line 7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7" name="Line 7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8" name="Line 7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89" name="Line 7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0" name="Line 7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1" name="Line 7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2" name="Line 7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3" name="Line 7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4" name="Line 7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5" name="Line 7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6" name="Line 7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7" name="Line 7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8" name="Line 7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799" name="Line 7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0" name="Line 7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1" name="Line 7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2" name="Line 7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3" name="Line 7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4" name="Line 7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5" name="Line 7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6" name="Line 7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7" name="Line 7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8" name="Line 7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09" name="Line 7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0" name="Line 7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1" name="Line 7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2" name="Line 7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3" name="Line 7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4" name="Line 7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5" name="Line 7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6" name="Line 7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7" name="Line 7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8" name="Line 7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19" name="Line 7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0" name="Line 7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1" name="Line 7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2" name="Line 7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3" name="Line 7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4" name="Line 7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5" name="Line 7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6" name="Line 7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7" name="Line 7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8" name="Line 7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29" name="Line 7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0" name="Line 7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1" name="Line 7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2" name="Line 7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3" name="Line 7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4" name="Line 7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5" name="Line 7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6" name="Line 7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7" name="Line 7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8" name="Line 7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39" name="Line 7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0" name="Line 7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1" name="Line 7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2" name="Line 7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3" name="Line 7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4" name="Line 7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5" name="Line 7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6" name="Line 7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7" name="Line 7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8" name="Line 7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49" name="Line 7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0" name="Line 7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1" name="Line 7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2" name="Line 7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3" name="Line 7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4" name="Line 7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5" name="Line 7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6" name="Line 7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7" name="Line 7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8" name="Line 7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59" name="Line 7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0" name="Line 7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1" name="Line 7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2" name="Line 7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3" name="Line 7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4" name="Line 7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5" name="Line 7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6" name="Line 7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7" name="Line 7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8" name="Line 7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69" name="Line 7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0" name="Line 7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1" name="Line 8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2" name="Line 8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3" name="Line 8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4" name="Line 8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5" name="Line 8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6" name="Line 8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7" name="Line 8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8" name="Line 8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79" name="Line 8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0" name="Line 8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1" name="Line 8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2" name="Line 8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3" name="Line 8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4" name="Line 8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5" name="Line 8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6" name="Line 8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7" name="Line 8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8" name="Line 8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89" name="Line 81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0" name="Line 81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1" name="Line 82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2" name="Line 82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3" name="Line 82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4" name="Line 82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5" name="Line 82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6" name="Line 82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7" name="Line 82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8" name="Line 82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899" name="Line 82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0" name="Line 82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1" name="Line 83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2" name="Line 83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3" name="Line 83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4" name="Line 83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5" name="Line 83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6" name="Line 83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7" name="Line 83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8" name="Line 83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09" name="Line 83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0" name="Line 83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1" name="Line 84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2" name="Line 84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3" name="Line 84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4" name="Line 84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5" name="Line 84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6" name="Line 84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7" name="Line 84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8" name="Line 84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19" name="Line 84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0" name="Line 84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1" name="Line 85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2" name="Line 85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3" name="Line 85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4" name="Line 85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5" name="Line 85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6" name="Line 85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7" name="Line 85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8" name="Line 85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29" name="Line 85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0" name="Line 85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1" name="Line 86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2" name="Line 86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3" name="Line 86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4" name="Line 86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5" name="Line 86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6" name="Line 86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7" name="Line 86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8" name="Line 86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39" name="Line 86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0" name="Line 86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1" name="Line 87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2" name="Line 87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3" name="Line 87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4" name="Line 87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5" name="Line 87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6" name="Line 87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7" name="Line 87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8" name="Line 87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49" name="Line 87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0" name="Line 87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1" name="Line 88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2" name="Line 88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3" name="Line 88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4" name="Line 88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5" name="Line 88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6" name="Line 88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7" name="Line 88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8" name="Line 88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59" name="Line 88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0" name="Line 88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1" name="Line 89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2" name="Line 89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3" name="Line 89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4" name="Line 89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5" name="Line 89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6" name="Line 89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7" name="Line 89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8" name="Line 89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69" name="Line 89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0" name="Line 89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1" name="Line 90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2" name="Line 90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3" name="Line 90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4" name="Line 90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5" name="Line 90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6" name="Line 90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7" name="Line 90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8" name="Line 90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79" name="Line 908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0" name="Line 909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1" name="Line 910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2" name="Line 911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3" name="Line 912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4" name="Line 913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5" name="Line 914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6" name="Line 915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7" name="Line 916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129</xdr:row>
      <xdr:rowOff>0</xdr:rowOff>
    </xdr:from>
    <xdr:to>
      <xdr:col>2</xdr:col>
      <xdr:colOff>0</xdr:colOff>
      <xdr:row>129</xdr:row>
      <xdr:rowOff>0</xdr:rowOff>
    </xdr:to>
    <xdr:sp>
      <xdr:nvSpPr>
        <xdr:cNvPr id="3988" name="Line 917"/>
        <xdr:cNvSpPr>
          <a:spLocks/>
        </xdr:cNvSpPr>
      </xdr:nvSpPr>
      <xdr:spPr>
        <a:xfrm>
          <a:off x="38100" y="31194375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3989" name="Line 918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3990" name="Line 919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3991" name="Line 920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3992" name="Line 921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3993" name="Line 922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3994" name="Line 923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3995" name="Line 924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3996" name="Line 925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3997" name="Line 926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3998" name="Line 927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3999" name="Line 928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0" name="Line 929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1" name="Line 930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2" name="Line 931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3" name="Line 932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4" name="Line 933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5" name="Line 934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6" name="Line 935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7" name="Line 936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8" name="Line 937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09" name="Line 938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4010" name="Line 939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4011" name="Line 940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4012" name="Line 941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4013" name="Line 942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4014" name="Line 943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4015" name="Line 944"/>
        <xdr:cNvSpPr>
          <a:spLocks/>
        </xdr:cNvSpPr>
      </xdr:nvSpPr>
      <xdr:spPr>
        <a:xfrm>
          <a:off x="38100" y="149733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16" name="Line 945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17" name="Line 946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18" name="Line 947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19" name="Line 948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0" name="Line 949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1" name="Line 950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2" name="Line 951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3" name="Line 952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4" name="Line 953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5" name="Line 954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6" name="Line 955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7" name="Line 956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8" name="Line 957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29" name="Line 958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4030" name="Line 959"/>
        <xdr:cNvSpPr>
          <a:spLocks/>
        </xdr:cNvSpPr>
      </xdr:nvSpPr>
      <xdr:spPr>
        <a:xfrm>
          <a:off x="38100" y="1447800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31" name="Line 9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32" name="Line 9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33" name="Line 9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34" name="Line 9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35" name="Line 9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36" name="Line 9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37" name="Line 9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38" name="Line 9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39" name="Line 9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0" name="Line 9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1" name="Line 9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2" name="Line 9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3" name="Line 9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4" name="Line 9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5" name="Line 9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6" name="Line 9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7" name="Line 9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8" name="Line 9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49" name="Line 9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0" name="Line 9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1" name="Line 9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2" name="Line 9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3" name="Line 9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4" name="Line 9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5" name="Line 9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6" name="Line 9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7" name="Line 9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8" name="Line 9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59" name="Line 9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0" name="Line 9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1" name="Line 9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2" name="Line 9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3" name="Line 9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4" name="Line 9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5" name="Line 9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6" name="Line 9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7" name="Line 9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8" name="Line 9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69" name="Line 9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0" name="Line 9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1" name="Line 10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2" name="Line 10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3" name="Line 10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4" name="Line 10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5" name="Line 10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6" name="Line 10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7" name="Line 10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8" name="Line 10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79" name="Line 10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0" name="Line 10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1" name="Line 10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2" name="Line 10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3" name="Line 10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4" name="Line 10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5" name="Line 10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6" name="Line 10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7" name="Line 10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8" name="Line 10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89" name="Line 10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0" name="Line 10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1" name="Line 10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2" name="Line 10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3" name="Line 10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4" name="Line 10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5" name="Line 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6" name="Line 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7" name="Line 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8" name="Line 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099" name="Line 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0" name="Line 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1" name="Line 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2" name="Line 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3" name="Line 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4" name="Line 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5" name="Line 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6" name="Line 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7" name="Line 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8" name="Line 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09" name="Line 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0" name="Line 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1" name="Line 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2" name="Line 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3" name="Line 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4" name="Line 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5" name="Line 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6" name="Line 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7" name="Line 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8" name="Line 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19" name="Line 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0" name="Line 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1" name="Line 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2" name="Line 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3" name="Line 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4" name="Line 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5" name="Line 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6" name="Line 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7" name="Line 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8" name="Line 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29" name="Line 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0" name="Line 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1" name="Line 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2" name="Line 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3" name="Line 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4" name="Line 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5" name="Line 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6" name="Line 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7" name="Line 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8" name="Line 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39" name="Line 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0" name="Line 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1" name="Line 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2" name="Line 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3" name="Line 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4" name="Line 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5" name="Line 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6" name="Line 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7" name="Line 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8" name="Line 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49" name="Line 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0" name="Line 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1" name="Line 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2" name="Line 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3" name="Line 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4" name="Line 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5" name="Line 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6" name="Line 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7" name="Line 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8" name="Line 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59" name="Line 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0" name="Line 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1" name="Line 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2" name="Line 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3" name="Line 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4" name="Line 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5" name="Line 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6" name="Line 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7" name="Line 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8" name="Line 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69" name="Line 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0" name="Line 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1" name="Line 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2" name="Line 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3" name="Line 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4" name="Line 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5" name="Line 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6" name="Line 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7" name="Line 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8" name="Line 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79" name="Line 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0" name="Line 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1" name="Line 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2" name="Line 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3" name="Line 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4" name="Line 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5" name="Line 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6" name="Line 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7" name="Line 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8" name="Line 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89" name="Line 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0" name="Line 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1" name="Line 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2" name="Line 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3" name="Line 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4" name="Line 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5" name="Line 1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6" name="Line 1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7" name="Line 1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8" name="Line 1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199" name="Line 1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0" name="Line 1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1" name="Line 1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2" name="Line 1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3" name="Line 1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4" name="Line 1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5" name="Line 1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6" name="Line 1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7" name="Line 1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8" name="Line 1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09" name="Line 1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0" name="Line 1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1" name="Line 1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2" name="Line 1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3" name="Line 1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4" name="Line 1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5" name="Line 1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6" name="Line 1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7" name="Line 1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8" name="Line 1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19" name="Line 1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0" name="Line 1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1" name="Line 1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2" name="Line 1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3" name="Line 1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4" name="Line 1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5" name="Line 1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6" name="Line 1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7" name="Line 1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8" name="Line 1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9" name="Line 1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0" name="Line 1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1" name="Line 1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2" name="Line 1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3" name="Line 1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4" name="Line 1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5" name="Line 1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6" name="Line 1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7" name="Line 1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8" name="Line 1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39" name="Line 1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0" name="Line 1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1" name="Line 1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2" name="Line 1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3" name="Line 1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4" name="Line 1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5" name="Line 1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6" name="Line 1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7" name="Line 1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8" name="Line 1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9" name="Line 1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0" name="Line 1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1" name="Line 1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2" name="Line 1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3" name="Line 1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4" name="Line 1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5" name="Line 1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6" name="Line 1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7" name="Line 1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8" name="Line 1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59" name="Line 1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0" name="Line 1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1" name="Line 1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2" name="Line 1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3" name="Line 1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4" name="Line 1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5" name="Line 1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6" name="Line 1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7" name="Line 1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8" name="Line 1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69" name="Line 1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0" name="Line 1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1" name="Line 1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2" name="Line 1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3" name="Line 1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4" name="Line 1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5" name="Line 1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6" name="Line 1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7" name="Line 1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8" name="Line 1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79" name="Line 1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0" name="Line 1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1" name="Line 1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2" name="Line 1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3" name="Line 1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4" name="Line 1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5" name="Line 1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6" name="Line 1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7" name="Line 1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8" name="Line 1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89" name="Line 1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0" name="Line 1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1" name="Line 1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2" name="Line 1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3" name="Line 1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4" name="Line 1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5" name="Line 2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6" name="Line 2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7" name="Line 2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8" name="Line 2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99" name="Line 2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0" name="Line 2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1" name="Line 2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2" name="Line 2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3" name="Line 2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4" name="Line 2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5" name="Line 2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6" name="Line 2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7" name="Line 2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8" name="Line 2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09" name="Line 2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0" name="Line 2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1" name="Line 2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2" name="Line 2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3" name="Line 2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4" name="Line 2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5" name="Line 2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6" name="Line 2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7" name="Line 2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8" name="Line 2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19" name="Line 2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0" name="Line 2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1" name="Line 2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2" name="Line 2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3" name="Line 2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4" name="Line 2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5" name="Line 2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6" name="Line 2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7" name="Line 2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8" name="Line 2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29" name="Line 2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0" name="Line 2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1" name="Line 2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2" name="Line 2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3" name="Line 2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4" name="Line 2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5" name="Line 2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6" name="Line 2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7" name="Line 2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8" name="Line 2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39" name="Line 2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0" name="Line 2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1" name="Line 2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2" name="Line 2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3" name="Line 2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4" name="Line 2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5" name="Line 2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6" name="Line 2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7" name="Line 2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8" name="Line 2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49" name="Line 2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0" name="Line 2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1" name="Line 2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2" name="Line 2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3" name="Line 2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4" name="Line 2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5" name="Line 2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6" name="Line 2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7" name="Line 2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8" name="Line 2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59" name="Line 2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0" name="Line 2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1" name="Line 2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2" name="Line 2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3" name="Line 2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4" name="Line 2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5" name="Line 2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6" name="Line 2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7" name="Line 2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8" name="Line 2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69" name="Line 2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0" name="Line 2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1" name="Line 2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2" name="Line 2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3" name="Line 2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4" name="Line 2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5" name="Line 2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6" name="Line 2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7" name="Line 2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8" name="Line 2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79" name="Line 2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0" name="Line 2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1" name="Line 2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2" name="Line 2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3" name="Line 2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4" name="Line 2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5" name="Line 2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6" name="Line 2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7" name="Line 2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8" name="Line 2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89" name="Line 2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0" name="Line 2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1" name="Line 2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2" name="Line 2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3" name="Line 2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4" name="Line 2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5" name="Line 3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6" name="Line 3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7" name="Line 3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8" name="Line 3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399" name="Line 3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0" name="Line 3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1" name="Line 3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2" name="Line 3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3" name="Line 3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4" name="Line 3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5" name="Line 3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6" name="Line 3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7" name="Line 3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8" name="Line 3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09" name="Line 3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0" name="Line 3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1" name="Line 3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2" name="Line 3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3" name="Line 3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4" name="Line 3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5" name="Line 3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6" name="Line 3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7" name="Line 3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8" name="Line 3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19" name="Line 3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0" name="Line 3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1" name="Line 3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2" name="Line 3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3" name="Line 3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4" name="Line 3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5" name="Line 3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6" name="Line 3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7" name="Line 3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8" name="Line 3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29" name="Line 3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0" name="Line 3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1" name="Line 3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2" name="Line 3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3" name="Line 3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4" name="Line 3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5" name="Line 3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6" name="Line 3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7" name="Line 3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8" name="Line 3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39" name="Line 3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0" name="Line 3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1" name="Line 3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2" name="Line 3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3" name="Line 3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4" name="Line 3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5" name="Line 3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6" name="Line 3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7" name="Line 3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8" name="Line 3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49" name="Line 3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0" name="Line 3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1" name="Line 3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2" name="Line 3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3" name="Line 3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4" name="Line 3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5" name="Line 3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6" name="Line 3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7" name="Line 3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8" name="Line 3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59" name="Line 3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0" name="Line 3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1" name="Line 3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2" name="Line 3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3" name="Line 3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4" name="Line 3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5" name="Line 3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6" name="Line 3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7" name="Line 3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8" name="Line 3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69" name="Line 3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0" name="Line 3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1" name="Line 3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2" name="Line 3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3" name="Line 3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4" name="Line 3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5" name="Line 3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6" name="Line 3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7" name="Line 3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8" name="Line 3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79" name="Line 3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0" name="Line 3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1" name="Line 3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2" name="Line 3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3" name="Line 3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4" name="Line 3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5" name="Line 3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6" name="Line 3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7" name="Line 3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8" name="Line 3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89" name="Line 3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0" name="Line 3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1" name="Line 3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2" name="Line 3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3" name="Line 3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4" name="Line 3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5" name="Line 4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6" name="Line 4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7" name="Line 4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8" name="Line 4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499" name="Line 4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0" name="Line 4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1" name="Line 4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2" name="Line 4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3" name="Line 4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4" name="Line 4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5" name="Line 4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6" name="Line 4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7" name="Line 4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8" name="Line 4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09" name="Line 4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0" name="Line 4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1" name="Line 4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2" name="Line 4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3" name="Line 4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4" name="Line 4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5" name="Line 4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6" name="Line 4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7" name="Line 4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8" name="Line 4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19" name="Line 4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0" name="Line 4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1" name="Line 4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2" name="Line 4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3" name="Line 4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4" name="Line 4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5" name="Line 4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6" name="Line 4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7" name="Line 4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8" name="Line 4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29" name="Line 4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0" name="Line 4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1" name="Line 4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2" name="Line 4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3" name="Line 4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4" name="Line 4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5" name="Line 4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6" name="Line 4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7" name="Line 4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8" name="Line 4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39" name="Line 4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0" name="Line 4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1" name="Line 4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2" name="Line 4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3" name="Line 4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4" name="Line 4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5" name="Line 4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6" name="Line 4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7" name="Line 4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8" name="Line 4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49" name="Line 4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0" name="Line 4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1" name="Line 4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2" name="Line 4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3" name="Line 4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4" name="Line 4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5" name="Line 4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6" name="Line 4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7" name="Line 4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8" name="Line 4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59" name="Line 4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0" name="Line 4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1" name="Line 4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2" name="Line 4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3" name="Line 4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4" name="Line 4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5" name="Line 4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6" name="Line 4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7" name="Line 4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8" name="Line 4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69" name="Line 4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0" name="Line 4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1" name="Line 4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2" name="Line 4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3" name="Line 4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4" name="Line 4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5" name="Line 4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6" name="Line 4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7" name="Line 4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8" name="Line 4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79" name="Line 4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0" name="Line 4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1" name="Line 4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2" name="Line 4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3" name="Line 4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4" name="Line 4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5" name="Line 4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6" name="Line 4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7" name="Line 4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8" name="Line 4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89" name="Line 4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0" name="Line 4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1" name="Line 4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2" name="Line 4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3" name="Line 4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4" name="Line 4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5" name="Line 5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6" name="Line 5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7" name="Line 5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8" name="Line 5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599" name="Line 5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0" name="Line 5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1" name="Line 5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2" name="Line 5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3" name="Line 5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4" name="Line 5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5" name="Line 5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6" name="Line 5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7" name="Line 5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8" name="Line 5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09" name="Line 5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0" name="Line 5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1" name="Line 5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2" name="Line 5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3" name="Line 5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4" name="Line 5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5" name="Line 5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6" name="Line 5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7" name="Line 5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8" name="Line 5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19" name="Line 5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0" name="Line 5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1" name="Line 5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2" name="Line 5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3" name="Line 5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4" name="Line 5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5" name="Line 5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6" name="Line 5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7" name="Line 5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8" name="Line 5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29" name="Line 5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0" name="Line 5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1" name="Line 5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2" name="Line 5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3" name="Line 5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4" name="Line 5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5" name="Line 5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6" name="Line 5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7" name="Line 5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8" name="Line 5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39" name="Line 5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0" name="Line 5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1" name="Line 5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2" name="Line 5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3" name="Line 5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4" name="Line 5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5" name="Line 5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6" name="Line 5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7" name="Line 5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8" name="Line 5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49" name="Line 5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0" name="Line 5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1" name="Line 5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2" name="Line 5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3" name="Line 5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4" name="Line 5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5" name="Line 5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6" name="Line 5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7" name="Line 5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8" name="Line 5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59" name="Line 5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0" name="Line 5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1" name="Line 5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2" name="Line 5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3" name="Line 5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4" name="Line 5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5" name="Line 5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6" name="Line 5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7" name="Line 5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8" name="Line 5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69" name="Line 5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0" name="Line 5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1" name="Line 5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2" name="Line 5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3" name="Line 5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4" name="Line 5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5" name="Line 5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6" name="Line 5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7" name="Line 5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8" name="Line 5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79" name="Line 5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0" name="Line 5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1" name="Line 5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2" name="Line 5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3" name="Line 5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4" name="Line 5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5" name="Line 5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6" name="Line 5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7" name="Line 5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8" name="Line 5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89" name="Line 5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0" name="Line 5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1" name="Line 5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2" name="Line 5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3" name="Line 5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4" name="Line 5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5" name="Line 6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6" name="Line 6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7" name="Line 6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8" name="Line 6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699" name="Line 6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0" name="Line 6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1" name="Line 6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2" name="Line 6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3" name="Line 6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4" name="Line 6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5" name="Line 6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6" name="Line 6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7" name="Line 6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8" name="Line 6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09" name="Line 6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0" name="Line 6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1" name="Line 6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2" name="Line 6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3" name="Line 6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4" name="Line 6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5" name="Line 6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6" name="Line 6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7" name="Line 6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8" name="Line 6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19" name="Line 6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0" name="Line 6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1" name="Line 6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2" name="Line 6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3" name="Line 6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4" name="Line 6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5" name="Line 6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6" name="Line 6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7" name="Line 6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8" name="Line 6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29" name="Line 6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0" name="Line 6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1" name="Line 6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2" name="Line 6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3" name="Line 6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4" name="Line 6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5" name="Line 6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6" name="Line 6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7" name="Line 6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8" name="Line 6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39" name="Line 6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0" name="Line 6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1" name="Line 6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2" name="Line 6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3" name="Line 6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4" name="Line 6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5" name="Line 6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6" name="Line 6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7" name="Line 6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8" name="Line 6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49" name="Line 6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0" name="Line 6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1" name="Line 6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2" name="Line 6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3" name="Line 6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4" name="Line 6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5" name="Line 6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6" name="Line 6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7" name="Line 6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8" name="Line 6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59" name="Line 6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0" name="Line 6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1" name="Line 6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2" name="Line 6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3" name="Line 6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4" name="Line 6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5" name="Line 6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6" name="Line 6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7" name="Line 6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8" name="Line 6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69" name="Line 6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0" name="Line 6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1" name="Line 6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2" name="Line 6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3" name="Line 6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4" name="Line 6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5" name="Line 6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6" name="Line 6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7" name="Line 6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8" name="Line 6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79" name="Line 6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0" name="Line 6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1" name="Line 6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2" name="Line 6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3" name="Line 6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4" name="Line 6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5" name="Line 6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6" name="Line 6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7" name="Line 6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8" name="Line 6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89" name="Line 6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0" name="Line 6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1" name="Line 6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2" name="Line 6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3" name="Line 6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4" name="Line 6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5" name="Line 7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6" name="Line 7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7" name="Line 7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8" name="Line 7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799" name="Line 7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0" name="Line 7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1" name="Line 7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2" name="Line 7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3" name="Line 7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4" name="Line 7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5" name="Line 7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6" name="Line 7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7" name="Line 7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8" name="Line 7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09" name="Line 7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0" name="Line 7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1" name="Line 7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2" name="Line 7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3" name="Line 7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4" name="Line 7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5" name="Line 7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6" name="Line 7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7" name="Line 7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8" name="Line 7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19" name="Line 7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0" name="Line 7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1" name="Line 7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2" name="Line 7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3" name="Line 7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4" name="Line 7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5" name="Line 7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6" name="Line 7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7" name="Line 7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8" name="Line 7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29" name="Line 7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0" name="Line 7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1" name="Line 7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2" name="Line 7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3" name="Line 7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4" name="Line 7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5" name="Line 7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6" name="Line 7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7" name="Line 7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8" name="Line 7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39" name="Line 7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0" name="Line 7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1" name="Line 7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2" name="Line 7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3" name="Line 7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4" name="Line 7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5" name="Line 7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6" name="Line 7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7" name="Line 7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8" name="Line 7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49" name="Line 7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0" name="Line 7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1" name="Line 7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2" name="Line 7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3" name="Line 7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4" name="Line 7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5" name="Line 7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6" name="Line 7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7" name="Line 7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8" name="Line 7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59" name="Line 7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0" name="Line 7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1" name="Line 7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2" name="Line 7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3" name="Line 7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4" name="Line 7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5" name="Line 7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6" name="Line 7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7" name="Line 7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8" name="Line 7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69" name="Line 7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0" name="Line 7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1" name="Line 7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2" name="Line 7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3" name="Line 7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4" name="Line 7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5" name="Line 7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6" name="Line 7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7" name="Line 7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8" name="Line 7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79" name="Line 7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0" name="Line 7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1" name="Line 7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2" name="Line 7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3" name="Line 7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4" name="Line 7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5" name="Line 7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6" name="Line 7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7" name="Line 7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8" name="Line 7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89" name="Line 7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0" name="Line 7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1" name="Line 7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2" name="Line 7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3" name="Line 7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4" name="Line 7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5" name="Line 8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6" name="Line 8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7" name="Line 8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8" name="Line 8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899" name="Line 8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0" name="Line 8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1" name="Line 8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2" name="Line 8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3" name="Line 8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4" name="Line 8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5" name="Line 8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6" name="Line 8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7" name="Line 8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8" name="Line 8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09" name="Line 8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0" name="Line 8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1" name="Line 8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2" name="Line 8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3" name="Line 8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4" name="Line 8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5" name="Line 8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6" name="Line 8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7" name="Line 8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8" name="Line 8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19" name="Line 8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0" name="Line 8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1" name="Line 8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2" name="Line 8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3" name="Line 8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4" name="Line 8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5" name="Line 8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6" name="Line 8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7" name="Line 8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8" name="Line 8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29" name="Line 8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0" name="Line 8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1" name="Line 8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2" name="Line 8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3" name="Line 8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4" name="Line 8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5" name="Line 8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6" name="Line 8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7" name="Line 8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8" name="Line 8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39" name="Line 8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0" name="Line 8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1" name="Line 8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2" name="Line 8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3" name="Line 8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4" name="Line 8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5" name="Line 8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6" name="Line 8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7" name="Line 8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8" name="Line 8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49" name="Line 8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0" name="Line 8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1" name="Line 8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2" name="Line 8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3" name="Line 8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4" name="Line 8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5" name="Line 8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6" name="Line 8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7" name="Line 8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8" name="Line 8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59" name="Line 8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0" name="Line 8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1" name="Line 8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2" name="Line 8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3" name="Line 8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4" name="Line 8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5" name="Line 8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6" name="Line 8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7" name="Line 8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8" name="Line 8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69" name="Line 8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0" name="Line 8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1" name="Line 8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2" name="Line 8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3" name="Line 8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4" name="Line 8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5" name="Line 8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6" name="Line 8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7" name="Line 8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8" name="Line 8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79" name="Line 8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0" name="Line 8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1" name="Line 8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2" name="Line 8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3" name="Line 8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4" name="Line 8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5" name="Line 8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6" name="Line 8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7" name="Line 8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8" name="Line 8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89" name="Line 8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0" name="Line 8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1" name="Line 8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2" name="Line 8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3" name="Line 8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4" name="Line 8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5" name="Line 9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6" name="Line 9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7" name="Line 9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8" name="Line 9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999" name="Line 9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0" name="Line 9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1" name="Line 9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2" name="Line 9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3" name="Line 9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4" name="Line 9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5" name="Line 9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6" name="Line 9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7" name="Line 9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8" name="Line 9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09" name="Line 9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0" name="Line 9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1" name="Line 9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2" name="Line 9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3" name="Line 9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4" name="Line 9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5" name="Line 9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6" name="Line 9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7" name="Line 9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8" name="Line 9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19" name="Line 9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0" name="Line 9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1" name="Line 9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2" name="Line 9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3" name="Line 9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4" name="Line 9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5" name="Line 9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6" name="Line 9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7" name="Line 9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8" name="Line 9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29" name="Line 9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0" name="Line 9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1" name="Line 9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2" name="Line 9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3" name="Line 9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4" name="Line 9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5" name="Line 9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6" name="Line 9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7" name="Line 9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8" name="Line 9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39" name="Line 9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0" name="Line 9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1" name="Line 9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2" name="Line 9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3" name="Line 9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4" name="Line 9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5" name="Line 9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6" name="Line 9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7" name="Line 9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8" name="Line 9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49" name="Line 9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0" name="Line 9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1" name="Line 9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2" name="Line 9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3" name="Line 9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4" name="Line 9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5" name="Line 9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6" name="Line 9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7" name="Line 9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8" name="Line 9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59" name="Line 9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0" name="Line 9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1" name="Line 9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2" name="Line 9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3" name="Line 9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4" name="Line 9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5" name="Line 9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6" name="Line 9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7" name="Line 9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8" name="Line 9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69" name="Line 9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0" name="Line 9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1" name="Line 9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2" name="Line 9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3" name="Line 9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4" name="Line 9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5" name="Line 9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6" name="Line 9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7" name="Line 9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8" name="Line 9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79" name="Line 9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0" name="Line 9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1" name="Line 9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2" name="Line 9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3" name="Line 9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4" name="Line 9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5" name="Line 9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6" name="Line 9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7" name="Line 9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8" name="Line 9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89" name="Line 9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0" name="Line 9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1" name="Line 9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2" name="Line 9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3" name="Line 9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4" name="Line 9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5" name="Line 10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6" name="Line 10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7" name="Line 10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8" name="Line 10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099" name="Line 10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0" name="Line 10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1" name="Line 10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2" name="Line 10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3" name="Line 10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4" name="Line 10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5" name="Line 10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6" name="Line 10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7" name="Line 10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8" name="Line 10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09" name="Line 10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0" name="Line 10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1" name="Line 10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2" name="Line 10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3" name="Line 10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4" name="Line 10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5" name="Line 10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6" name="Line 10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7" name="Line 10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8" name="Line 10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19" name="Line 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0" name="Line 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1" name="Line 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2" name="Line 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3" name="Line 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4" name="Line 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5" name="Line 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6" name="Line 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7" name="Line 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8" name="Line 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29" name="Line 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0" name="Line 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1" name="Line 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2" name="Line 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3" name="Line 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4" name="Line 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5" name="Line 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6" name="Line 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7" name="Line 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8" name="Line 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39" name="Line 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0" name="Line 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1" name="Line 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2" name="Line 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3" name="Line 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4" name="Line 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5" name="Line 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6" name="Line 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7" name="Line 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8" name="Line 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49" name="Line 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0" name="Line 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1" name="Line 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2" name="Line 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3" name="Line 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4" name="Line 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5" name="Line 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6" name="Line 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7" name="Line 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8" name="Line 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59" name="Line 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0" name="Line 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1" name="Line 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2" name="Line 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3" name="Line 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4" name="Line 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5" name="Line 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6" name="Line 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7" name="Line 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8" name="Line 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69" name="Line 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0" name="Line 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1" name="Line 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2" name="Line 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3" name="Line 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4" name="Line 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5" name="Line 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6" name="Line 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7" name="Line 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8" name="Line 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79" name="Line 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0" name="Line 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1" name="Line 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2" name="Line 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3" name="Line 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4" name="Line 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5" name="Line 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6" name="Line 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7" name="Line 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8" name="Line 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89" name="Line 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0" name="Line 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1" name="Line 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2" name="Line 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3" name="Line 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4" name="Line 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5" name="Line 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6" name="Line 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7" name="Line 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8" name="Line 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199" name="Line 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0" name="Line 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1" name="Line 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2" name="Line 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3" name="Line 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4" name="Line 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5" name="Line 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6" name="Line 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7" name="Line 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8" name="Line 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09" name="Line 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0" name="Line 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1" name="Line 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2" name="Line 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3" name="Line 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4" name="Line 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5" name="Line 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6" name="Line 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7" name="Line 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8" name="Line 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19" name="Line 1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0" name="Line 1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1" name="Line 1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2" name="Line 1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3" name="Line 1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4" name="Line 1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5" name="Line 1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6" name="Line 1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7" name="Line 1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8" name="Line 1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29" name="Line 1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0" name="Line 1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1" name="Line 1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2" name="Line 1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3" name="Line 1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4" name="Line 1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5" name="Line 1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6" name="Line 1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7" name="Line 1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8" name="Line 1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39" name="Line 1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0" name="Line 1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1" name="Line 1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2" name="Line 1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3" name="Line 1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4" name="Line 1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5" name="Line 1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6" name="Line 1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7" name="Line 1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8" name="Line 1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49" name="Line 1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0" name="Line 1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1" name="Line 1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2" name="Line 1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3" name="Line 1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4" name="Line 1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5" name="Line 1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6" name="Line 1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7" name="Line 1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8" name="Line 1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59" name="Line 1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0" name="Line 1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1" name="Line 1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2" name="Line 1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3" name="Line 1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4" name="Line 1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5" name="Line 1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6" name="Line 1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7" name="Line 1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8" name="Line 1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69" name="Line 1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0" name="Line 1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1" name="Line 1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2" name="Line 1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3" name="Line 1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4" name="Line 1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5" name="Line 1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6" name="Line 1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7" name="Line 1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8" name="Line 1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79" name="Line 1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0" name="Line 1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1" name="Line 1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2" name="Line 1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3" name="Line 1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4" name="Line 1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5" name="Line 1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6" name="Line 1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7" name="Line 1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8" name="Line 1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89" name="Line 1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0" name="Line 1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1" name="Line 1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2" name="Line 1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3" name="Line 1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4" name="Line 1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5" name="Line 1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6" name="Line 1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7" name="Line 1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8" name="Line 1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299" name="Line 1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0" name="Line 1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1" name="Line 1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2" name="Line 1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3" name="Line 1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4" name="Line 1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5" name="Line 1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6" name="Line 1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7" name="Line 1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8" name="Line 1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09" name="Line 1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0" name="Line 1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1" name="Line 1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2" name="Line 1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3" name="Line 1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4" name="Line 1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5" name="Line 1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6" name="Line 1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7" name="Line 1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8" name="Line 1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19" name="Line 2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0" name="Line 2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1" name="Line 2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2" name="Line 2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3" name="Line 2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4" name="Line 2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5" name="Line 2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6" name="Line 2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7" name="Line 2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8" name="Line 2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29" name="Line 2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0" name="Line 2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1" name="Line 2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2" name="Line 2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3" name="Line 2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4" name="Line 2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5" name="Line 2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6" name="Line 2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7" name="Line 2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8" name="Line 2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39" name="Line 2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0" name="Line 2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1" name="Line 2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2" name="Line 2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3" name="Line 2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4" name="Line 2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5" name="Line 2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6" name="Line 2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7" name="Line 2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8" name="Line 2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49" name="Line 2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0" name="Line 2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1" name="Line 2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2" name="Line 2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3" name="Line 2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4" name="Line 2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5" name="Line 2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6" name="Line 2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7" name="Line 2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8" name="Line 2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59" name="Line 2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0" name="Line 2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1" name="Line 2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2" name="Line 2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3" name="Line 2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4" name="Line 2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5" name="Line 2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6" name="Line 2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7" name="Line 2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8" name="Line 2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69" name="Line 2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0" name="Line 2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1" name="Line 2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2" name="Line 2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3" name="Line 2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4" name="Line 2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5" name="Line 2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6" name="Line 2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7" name="Line 2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8" name="Line 2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79" name="Line 2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0" name="Line 2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1" name="Line 2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2" name="Line 2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3" name="Line 2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4" name="Line 2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5" name="Line 2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6" name="Line 2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7" name="Line 2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8" name="Line 2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89" name="Line 2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0" name="Line 2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1" name="Line 2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2" name="Line 2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3" name="Line 2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4" name="Line 2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5" name="Line 2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6" name="Line 2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7" name="Line 2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8" name="Line 2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399" name="Line 2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0" name="Line 2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1" name="Line 2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2" name="Line 2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3" name="Line 2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4" name="Line 2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5" name="Line 2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6" name="Line 2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7" name="Line 2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8" name="Line 2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09" name="Line 2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0" name="Line 2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1" name="Line 2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2" name="Line 2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3" name="Line 2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4" name="Line 2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5" name="Line 2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6" name="Line 2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7" name="Line 2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8" name="Line 2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19" name="Line 3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0" name="Line 3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1" name="Line 3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2" name="Line 3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3" name="Line 3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4" name="Line 3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5" name="Line 3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6" name="Line 3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7" name="Line 3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8" name="Line 3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29" name="Line 3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0" name="Line 3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1" name="Line 3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2" name="Line 3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3" name="Line 3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4" name="Line 3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5" name="Line 3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6" name="Line 3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7" name="Line 3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8" name="Line 3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39" name="Line 3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0" name="Line 3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1" name="Line 3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2" name="Line 3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3" name="Line 3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4" name="Line 3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5" name="Line 3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6" name="Line 3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7" name="Line 3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8" name="Line 3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49" name="Line 3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0" name="Line 3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1" name="Line 3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2" name="Line 3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3" name="Line 3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4" name="Line 3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5" name="Line 3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6" name="Line 3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7" name="Line 3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8" name="Line 3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59" name="Line 3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0" name="Line 3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1" name="Line 3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2" name="Line 3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3" name="Line 3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4" name="Line 3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5" name="Line 3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6" name="Line 3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7" name="Line 3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8" name="Line 3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69" name="Line 3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0" name="Line 3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1" name="Line 3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2" name="Line 3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3" name="Line 3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4" name="Line 3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5" name="Line 3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6" name="Line 3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7" name="Line 3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8" name="Line 3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79" name="Line 3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0" name="Line 3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1" name="Line 3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2" name="Line 3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3" name="Line 3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4" name="Line 3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5" name="Line 3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6" name="Line 3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7" name="Line 3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8" name="Line 3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89" name="Line 3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0" name="Line 3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1" name="Line 3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2" name="Line 3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3" name="Line 3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4" name="Line 3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5" name="Line 3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6" name="Line 3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7" name="Line 3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8" name="Line 3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499" name="Line 3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0" name="Line 3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1" name="Line 3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2" name="Line 3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3" name="Line 3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4" name="Line 3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5" name="Line 3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6" name="Line 3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7" name="Line 3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8" name="Line 3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09" name="Line 3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0" name="Line 3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1" name="Line 3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2" name="Line 3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3" name="Line 3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4" name="Line 3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5" name="Line 3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6" name="Line 3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7" name="Line 3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8" name="Line 3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19" name="Line 4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0" name="Line 4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1" name="Line 4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2" name="Line 4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3" name="Line 4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4" name="Line 4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5" name="Line 4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6" name="Line 4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7" name="Line 4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8" name="Line 4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29" name="Line 4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0" name="Line 4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1" name="Line 4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2" name="Line 4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3" name="Line 4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4" name="Line 4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5" name="Line 4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6" name="Line 4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7" name="Line 4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8" name="Line 4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39" name="Line 4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0" name="Line 4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1" name="Line 4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2" name="Line 4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3" name="Line 4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4" name="Line 4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5" name="Line 4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6" name="Line 4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7" name="Line 4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8" name="Line 4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49" name="Line 4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0" name="Line 4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1" name="Line 4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2" name="Line 4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3" name="Line 4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4" name="Line 4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5" name="Line 4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6" name="Line 4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7" name="Line 4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8" name="Line 4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59" name="Line 4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0" name="Line 4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1" name="Line 4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2" name="Line 4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3" name="Line 4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4" name="Line 4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5" name="Line 4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6" name="Line 4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7" name="Line 4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8" name="Line 4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69" name="Line 4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0" name="Line 4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1" name="Line 4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2" name="Line 4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3" name="Line 4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4" name="Line 4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5" name="Line 4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6" name="Line 4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7" name="Line 4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8" name="Line 4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79" name="Line 4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0" name="Line 4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1" name="Line 4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2" name="Line 4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3" name="Line 4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4" name="Line 4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5" name="Line 4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6" name="Line 4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7" name="Line 4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8" name="Line 4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89" name="Line 4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0" name="Line 4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1" name="Line 4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2" name="Line 4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3" name="Line 4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4" name="Line 4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5" name="Line 4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6" name="Line 4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7" name="Line 4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8" name="Line 4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599" name="Line 4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0" name="Line 4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1" name="Line 4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2" name="Line 4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3" name="Line 4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4" name="Line 4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5" name="Line 4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6" name="Line 4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7" name="Line 4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8" name="Line 4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09" name="Line 4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0" name="Line 4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1" name="Line 4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2" name="Line 4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3" name="Line 4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4" name="Line 4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5" name="Line 4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6" name="Line 4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7" name="Line 4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8" name="Line 4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19" name="Line 5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0" name="Line 5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1" name="Line 5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2" name="Line 5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3" name="Line 5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4" name="Line 5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5" name="Line 5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6" name="Line 5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7" name="Line 5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8" name="Line 5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29" name="Line 5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0" name="Line 5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1" name="Line 5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2" name="Line 5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3" name="Line 5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4" name="Line 5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5" name="Line 5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6" name="Line 5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7" name="Line 5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8" name="Line 5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39" name="Line 52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0" name="Line 52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1" name="Line 52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2" name="Line 52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3" name="Line 52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4" name="Line 52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5" name="Line 52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6" name="Line 52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7" name="Line 52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8" name="Line 52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49" name="Line 53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0" name="Line 53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1" name="Line 53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2" name="Line 53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3" name="Line 53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4" name="Line 53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5" name="Line 53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6" name="Line 53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7" name="Line 53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8" name="Line 53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59" name="Line 54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0" name="Line 54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1" name="Line 54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2" name="Line 54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3" name="Line 54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4" name="Line 54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5" name="Line 54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6" name="Line 54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7" name="Line 54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8" name="Line 54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69" name="Line 55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0" name="Line 55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1" name="Line 55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2" name="Line 55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3" name="Line 55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4" name="Line 55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5" name="Line 55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6" name="Line 55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7" name="Line 55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8" name="Line 55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79" name="Line 56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0" name="Line 56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1" name="Line 56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2" name="Line 56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3" name="Line 56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4" name="Line 56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5" name="Line 56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6" name="Line 56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7" name="Line 56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8" name="Line 56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89" name="Line 57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0" name="Line 57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1" name="Line 57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2" name="Line 57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3" name="Line 57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4" name="Line 57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5" name="Line 57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6" name="Line 57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7" name="Line 57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8" name="Line 57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699" name="Line 58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0" name="Line 58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1" name="Line 58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2" name="Line 58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3" name="Line 58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4" name="Line 58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5" name="Line 58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6" name="Line 58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7" name="Line 58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8" name="Line 58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09" name="Line 59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0" name="Line 59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1" name="Line 59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2" name="Line 59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3" name="Line 59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4" name="Line 59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5" name="Line 59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6" name="Line 59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7" name="Line 59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8" name="Line 59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19" name="Line 60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0" name="Line 60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1" name="Line 60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2" name="Line 60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3" name="Line 60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4" name="Line 60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5" name="Line 60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6" name="Line 60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7" name="Line 60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8" name="Line 60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29" name="Line 610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30" name="Line 611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31" name="Line 612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32" name="Line 613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33" name="Line 614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34" name="Line 615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35" name="Line 616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36" name="Line 617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37" name="Line 618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738" name="Line 619"/>
        <xdr:cNvSpPr>
          <a:spLocks/>
        </xdr:cNvSpPr>
      </xdr:nvSpPr>
      <xdr:spPr>
        <a:xfrm>
          <a:off x="38100" y="1847850"/>
          <a:ext cx="394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622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622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31" name="AutoShape 3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32" name="AutoShape 3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33" name="AutoShape 3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35" name="AutoShape 3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36" name="AutoShape 3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37" name="AutoShape 3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39" name="AutoShape 3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40" name="AutoShape 4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41" name="AutoShape 4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43" name="AutoShape 4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44" name="AutoShape 4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45" name="AutoShape 4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47" name="AutoShape 4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53" name="AutoShape 5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55" name="AutoShape 5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56" name="AutoShape 5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57" name="AutoShape 5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59" name="AutoShape 5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60" name="AutoShape 6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61" name="AutoShape 6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63" name="AutoShape 6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64" name="AutoShape 6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65" name="AutoShape 6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67" name="AutoShape 6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68" name="AutoShape 6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69" name="AutoShape 6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71" name="AutoShape 7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72" name="AutoShape 7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73" name="AutoShape 7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75" name="AutoShape 7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76" name="AutoShape 7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77" name="AutoShape 7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79" name="AutoShape 7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80" name="AutoShape 8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81" name="AutoShape 8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83" name="AutoShape 8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84" name="AutoShape 8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85" name="AutoShape 8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87" name="AutoShape 8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88" name="AutoShape 8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89" name="AutoShape 8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91" name="AutoShape 9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92" name="AutoShape 9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93" name="AutoShape 9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95" name="AutoShape 9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96" name="AutoShape 9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97" name="AutoShape 9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99" name="AutoShape 9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00" name="AutoShape 10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01" name="AutoShape 10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03" name="AutoShape 10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04" name="AutoShape 10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05" name="AutoShape 10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07" name="AutoShape 10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08" name="AutoShape 10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09" name="AutoShape 10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11" name="AutoShape 11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12" name="AutoShape 11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13" name="AutoShape 11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15" name="AutoShape 11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16" name="AutoShape 11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17" name="AutoShape 11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19" name="AutoShape 11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20" name="AutoShape 12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21" name="AutoShape 121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23" name="AutoShape 123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24" name="AutoShape 124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25" name="AutoShape 125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27" name="AutoShape 127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28" name="AutoShape 128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171450</xdr:rowOff>
    </xdr:from>
    <xdr:to>
      <xdr:col>1</xdr:col>
      <xdr:colOff>447675</xdr:colOff>
      <xdr:row>11</xdr:row>
      <xdr:rowOff>171450</xdr:rowOff>
    </xdr:to>
    <xdr:sp>
      <xdr:nvSpPr>
        <xdr:cNvPr id="129" name="AutoShape 129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933450" y="25336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9650" y="2533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104900" y="2533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3" name="Arc 133"/>
        <xdr:cNvSpPr>
          <a:spLocks/>
        </xdr:cNvSpPr>
      </xdr:nvSpPr>
      <xdr:spPr>
        <a:xfrm>
          <a:off x="1009650" y="2533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4" name="Rysowanie 11"/>
        <xdr:cNvSpPr>
          <a:spLocks/>
        </xdr:cNvSpPr>
      </xdr:nvSpPr>
      <xdr:spPr>
        <a:xfrm>
          <a:off x="1104900" y="2533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5" name="Arc 135"/>
        <xdr:cNvSpPr>
          <a:spLocks/>
        </xdr:cNvSpPr>
      </xdr:nvSpPr>
      <xdr:spPr>
        <a:xfrm>
          <a:off x="1009650" y="25336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6" name="Rysowanie 11"/>
        <xdr:cNvSpPr>
          <a:spLocks/>
        </xdr:cNvSpPr>
      </xdr:nvSpPr>
      <xdr:spPr>
        <a:xfrm>
          <a:off x="1104900" y="25336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75" workbookViewId="0" topLeftCell="A1">
      <selection activeCell="C6" sqref="C6"/>
    </sheetView>
  </sheetViews>
  <sheetFormatPr defaultColWidth="9.00390625" defaultRowHeight="12.75"/>
  <cols>
    <col min="1" max="1" width="5.375" style="1" customWidth="1"/>
    <col min="2" max="2" width="7.75390625" style="1" customWidth="1"/>
    <col min="3" max="3" width="66.125" style="1" customWidth="1"/>
    <col min="4" max="4" width="21.75390625" style="1" customWidth="1"/>
    <col min="5" max="6" width="14.625" style="1" hidden="1" customWidth="1"/>
    <col min="7" max="7" width="16.25390625" style="1" customWidth="1"/>
    <col min="8" max="8" width="20.25390625" style="1" customWidth="1"/>
    <col min="9" max="9" width="12.00390625" style="0" customWidth="1"/>
    <col min="10" max="10" width="11.125" style="0" customWidth="1"/>
    <col min="11" max="11" width="15.25390625" style="0" customWidth="1"/>
  </cols>
  <sheetData>
    <row r="1" spans="2:7" ht="15" customHeight="1">
      <c r="B1" s="44"/>
      <c r="G1" s="1" t="s">
        <v>107</v>
      </c>
    </row>
    <row r="2" ht="15" customHeight="1">
      <c r="G2" s="1" t="s">
        <v>229</v>
      </c>
    </row>
    <row r="3" spans="3:7" ht="15" customHeight="1">
      <c r="C3" s="45" t="s">
        <v>116</v>
      </c>
      <c r="G3" s="1" t="s">
        <v>85</v>
      </c>
    </row>
    <row r="4" ht="15" customHeight="1">
      <c r="G4" s="1" t="s">
        <v>224</v>
      </c>
    </row>
    <row r="5" ht="12" customHeight="1" thickBot="1">
      <c r="H5" s="3" t="s">
        <v>87</v>
      </c>
    </row>
    <row r="6" spans="1:8" ht="69" customHeight="1" thickBot="1" thickTop="1">
      <c r="A6" s="4" t="s">
        <v>88</v>
      </c>
      <c r="B6" s="4" t="s">
        <v>89</v>
      </c>
      <c r="C6" s="5" t="s">
        <v>32</v>
      </c>
      <c r="D6" s="238" t="s">
        <v>117</v>
      </c>
      <c r="E6" s="5" t="s">
        <v>91</v>
      </c>
      <c r="F6" s="5" t="s">
        <v>91</v>
      </c>
      <c r="G6" s="4" t="s">
        <v>55</v>
      </c>
      <c r="H6" s="5" t="s">
        <v>92</v>
      </c>
    </row>
    <row r="7" spans="1:8" ht="16.5" customHeight="1" thickBot="1" thickTop="1">
      <c r="A7" s="46">
        <v>1</v>
      </c>
      <c r="B7" s="46">
        <v>2</v>
      </c>
      <c r="C7" s="46">
        <v>3</v>
      </c>
      <c r="D7" s="46">
        <v>4</v>
      </c>
      <c r="E7" s="46">
        <v>6</v>
      </c>
      <c r="F7" s="46">
        <v>6</v>
      </c>
      <c r="G7" s="46">
        <v>5</v>
      </c>
      <c r="H7" s="46">
        <v>6</v>
      </c>
    </row>
    <row r="8" spans="1:9" ht="21.75" customHeight="1" thickBot="1" thickTop="1">
      <c r="A8" s="47"/>
      <c r="B8" s="47"/>
      <c r="C8" s="48" t="s">
        <v>56</v>
      </c>
      <c r="D8" s="49">
        <v>778926841</v>
      </c>
      <c r="E8" s="49"/>
      <c r="F8" s="49"/>
      <c r="G8" s="49">
        <f>G10+G19</f>
        <v>1347288</v>
      </c>
      <c r="H8" s="49">
        <f>D8+G8</f>
        <v>780274129</v>
      </c>
      <c r="I8" s="60"/>
    </row>
    <row r="9" spans="1:8" ht="16.5" customHeight="1" thickTop="1">
      <c r="A9" s="12"/>
      <c r="B9" s="12"/>
      <c r="C9" s="12" t="s">
        <v>94</v>
      </c>
      <c r="D9" s="50"/>
      <c r="E9" s="50"/>
      <c r="F9" s="50"/>
      <c r="G9" s="50"/>
      <c r="H9" s="50"/>
    </row>
    <row r="10" spans="1:8" ht="21" customHeight="1" thickBot="1">
      <c r="A10" s="12"/>
      <c r="B10" s="12"/>
      <c r="C10" s="51" t="s">
        <v>57</v>
      </c>
      <c r="D10" s="52">
        <v>547306368</v>
      </c>
      <c r="E10" s="52"/>
      <c r="F10" s="52"/>
      <c r="G10" s="52">
        <f>G13</f>
        <v>525478</v>
      </c>
      <c r="H10" s="52">
        <f aca="true" t="shared" si="0" ref="H10:H27">D10+G10</f>
        <v>547831846</v>
      </c>
    </row>
    <row r="11" spans="1:8" ht="21" customHeight="1" thickBot="1">
      <c r="A11" s="8"/>
      <c r="B11" s="8"/>
      <c r="C11" s="39" t="s">
        <v>58</v>
      </c>
      <c r="D11" s="37">
        <v>375445074</v>
      </c>
      <c r="E11" s="40"/>
      <c r="F11" s="40"/>
      <c r="G11" s="40"/>
      <c r="H11" s="40">
        <f t="shared" si="0"/>
        <v>375445074</v>
      </c>
    </row>
    <row r="12" spans="1:8" ht="21" customHeight="1" thickBot="1" thickTop="1">
      <c r="A12" s="8"/>
      <c r="B12" s="8"/>
      <c r="C12" s="36" t="s">
        <v>118</v>
      </c>
      <c r="D12" s="37">
        <v>101484534</v>
      </c>
      <c r="E12" s="37"/>
      <c r="F12" s="37"/>
      <c r="G12" s="37"/>
      <c r="H12" s="37">
        <f t="shared" si="0"/>
        <v>101484534</v>
      </c>
    </row>
    <row r="13" spans="1:8" ht="21" customHeight="1" thickBot="1" thickTop="1">
      <c r="A13" s="8"/>
      <c r="B13" s="8"/>
      <c r="C13" s="36" t="s">
        <v>60</v>
      </c>
      <c r="D13" s="37">
        <v>10889371</v>
      </c>
      <c r="E13" s="37"/>
      <c r="F13" s="37"/>
      <c r="G13" s="37">
        <f>G14</f>
        <v>525478</v>
      </c>
      <c r="H13" s="37">
        <f t="shared" si="0"/>
        <v>11414849</v>
      </c>
    </row>
    <row r="14" spans="1:8" ht="18.75" customHeight="1" thickTop="1">
      <c r="A14" s="34">
        <v>854</v>
      </c>
      <c r="B14" s="34"/>
      <c r="C14" s="18" t="s">
        <v>71</v>
      </c>
      <c r="D14" s="19">
        <v>1215212</v>
      </c>
      <c r="E14" s="115"/>
      <c r="F14" s="115"/>
      <c r="G14" s="19">
        <f>G15</f>
        <v>525478</v>
      </c>
      <c r="H14" s="19">
        <f>D14+G14</f>
        <v>1740690</v>
      </c>
    </row>
    <row r="15" spans="1:8" ht="18" customHeight="1">
      <c r="A15" s="8"/>
      <c r="B15" s="28">
        <v>85415</v>
      </c>
      <c r="C15" s="43" t="s">
        <v>97</v>
      </c>
      <c r="D15" s="54">
        <v>1215212</v>
      </c>
      <c r="E15" s="116"/>
      <c r="F15" s="116"/>
      <c r="G15" s="54">
        <f>G16</f>
        <v>525478</v>
      </c>
      <c r="H15" s="54">
        <f>D15+G15</f>
        <v>1740690</v>
      </c>
    </row>
    <row r="16" spans="1:8" ht="27" customHeight="1">
      <c r="A16" s="12"/>
      <c r="B16" s="20"/>
      <c r="C16" s="313" t="s">
        <v>161</v>
      </c>
      <c r="D16" s="283">
        <v>1215212</v>
      </c>
      <c r="E16" s="314"/>
      <c r="F16" s="314"/>
      <c r="G16" s="283">
        <v>525478</v>
      </c>
      <c r="H16" s="283">
        <f>D16+G16</f>
        <v>1740690</v>
      </c>
    </row>
    <row r="17" spans="1:8" ht="19.5" customHeight="1" thickBot="1">
      <c r="A17" s="8"/>
      <c r="B17" s="8"/>
      <c r="C17" s="36" t="s">
        <v>132</v>
      </c>
      <c r="D17" s="37">
        <v>539300</v>
      </c>
      <c r="E17" s="37"/>
      <c r="F17" s="37"/>
      <c r="G17" s="37"/>
      <c r="H17" s="37">
        <f t="shared" si="0"/>
        <v>539300</v>
      </c>
    </row>
    <row r="18" spans="1:8" ht="27" customHeight="1" thickBot="1" thickTop="1">
      <c r="A18" s="8"/>
      <c r="B18" s="8"/>
      <c r="C18" s="215" t="s">
        <v>61</v>
      </c>
      <c r="D18" s="37">
        <v>58948089</v>
      </c>
      <c r="E18" s="199"/>
      <c r="F18" s="199"/>
      <c r="G18" s="199"/>
      <c r="H18" s="199">
        <f t="shared" si="0"/>
        <v>58948089</v>
      </c>
    </row>
    <row r="19" spans="1:8" ht="19.5" customHeight="1" thickBot="1" thickTop="1">
      <c r="A19" s="12"/>
      <c r="B19" s="12"/>
      <c r="C19" s="51" t="s">
        <v>62</v>
      </c>
      <c r="D19" s="52">
        <v>231620473</v>
      </c>
      <c r="E19" s="52"/>
      <c r="F19" s="52"/>
      <c r="G19" s="52">
        <f>G20+G21+G22+G23+G27</f>
        <v>821810</v>
      </c>
      <c r="H19" s="52">
        <f t="shared" si="0"/>
        <v>232442283</v>
      </c>
    </row>
    <row r="20" spans="1:8" ht="18" customHeight="1" thickBot="1">
      <c r="A20" s="8"/>
      <c r="B20" s="8"/>
      <c r="C20" s="131" t="s">
        <v>58</v>
      </c>
      <c r="D20" s="40">
        <v>63095330</v>
      </c>
      <c r="E20" s="40"/>
      <c r="F20" s="40"/>
      <c r="G20" s="40"/>
      <c r="H20" s="40">
        <f t="shared" si="0"/>
        <v>63095330</v>
      </c>
    </row>
    <row r="21" spans="1:8" ht="18" customHeight="1" thickBot="1" thickTop="1">
      <c r="A21" s="8"/>
      <c r="B21" s="8"/>
      <c r="C21" s="216" t="s">
        <v>59</v>
      </c>
      <c r="D21" s="217">
        <v>133273225</v>
      </c>
      <c r="E21" s="217"/>
      <c r="F21" s="217"/>
      <c r="G21" s="217"/>
      <c r="H21" s="217">
        <f t="shared" si="0"/>
        <v>133273225</v>
      </c>
    </row>
    <row r="22" spans="1:8" ht="18.75" customHeight="1" thickBot="1" thickTop="1">
      <c r="A22" s="8"/>
      <c r="B22" s="8"/>
      <c r="C22" s="36" t="s">
        <v>60</v>
      </c>
      <c r="D22" s="64">
        <v>9178001</v>
      </c>
      <c r="E22" s="64"/>
      <c r="F22" s="64"/>
      <c r="G22" s="64"/>
      <c r="H22" s="64">
        <f t="shared" si="0"/>
        <v>9178001</v>
      </c>
    </row>
    <row r="23" spans="1:8" ht="18.75" customHeight="1" thickBot="1" thickTop="1">
      <c r="A23" s="8"/>
      <c r="B23" s="8"/>
      <c r="C23" s="36" t="s">
        <v>132</v>
      </c>
      <c r="D23" s="64">
        <v>4638613</v>
      </c>
      <c r="E23" s="64"/>
      <c r="F23" s="64"/>
      <c r="G23" s="64">
        <f>G24</f>
        <v>821810</v>
      </c>
      <c r="H23" s="64">
        <f t="shared" si="0"/>
        <v>5460423</v>
      </c>
    </row>
    <row r="24" spans="1:8" ht="18.75" customHeight="1" thickTop="1">
      <c r="A24" s="34">
        <v>854</v>
      </c>
      <c r="B24" s="34"/>
      <c r="C24" s="18" t="s">
        <v>71</v>
      </c>
      <c r="D24" s="19">
        <v>1686113</v>
      </c>
      <c r="E24" s="115"/>
      <c r="F24" s="115"/>
      <c r="G24" s="19">
        <f>G25</f>
        <v>821810</v>
      </c>
      <c r="H24" s="19">
        <f t="shared" si="0"/>
        <v>2507923</v>
      </c>
    </row>
    <row r="25" spans="1:8" ht="18" customHeight="1">
      <c r="A25" s="8"/>
      <c r="B25" s="28">
        <v>85415</v>
      </c>
      <c r="C25" s="43" t="s">
        <v>97</v>
      </c>
      <c r="D25" s="54">
        <v>1686113</v>
      </c>
      <c r="E25" s="116"/>
      <c r="F25" s="116"/>
      <c r="G25" s="54">
        <f>G26</f>
        <v>821810</v>
      </c>
      <c r="H25" s="54">
        <f t="shared" si="0"/>
        <v>2507923</v>
      </c>
    </row>
    <row r="26" spans="1:8" ht="39.75" customHeight="1">
      <c r="A26" s="12"/>
      <c r="B26" s="20"/>
      <c r="C26" s="32" t="s">
        <v>138</v>
      </c>
      <c r="D26" s="33"/>
      <c r="E26" s="117"/>
      <c r="F26" s="117"/>
      <c r="G26" s="33">
        <v>821810</v>
      </c>
      <c r="H26" s="33">
        <f t="shared" si="0"/>
        <v>821810</v>
      </c>
    </row>
    <row r="27" spans="1:8" ht="25.5" customHeight="1">
      <c r="A27" s="14"/>
      <c r="B27" s="14"/>
      <c r="C27" s="165" t="s">
        <v>77</v>
      </c>
      <c r="D27" s="225">
        <v>21435304</v>
      </c>
      <c r="E27" s="225"/>
      <c r="F27" s="225"/>
      <c r="G27" s="225"/>
      <c r="H27" s="225">
        <f t="shared" si="0"/>
        <v>21435304</v>
      </c>
    </row>
    <row r="31" ht="12.75">
      <c r="C31" s="1" t="s">
        <v>236</v>
      </c>
    </row>
    <row r="32" ht="12.75">
      <c r="C32" s="1" t="s">
        <v>237</v>
      </c>
    </row>
    <row r="33" ht="12.75">
      <c r="C33" s="1" t="s">
        <v>238</v>
      </c>
    </row>
  </sheetData>
  <printOptions horizontalCentered="1"/>
  <pageMargins left="0.5905511811023623" right="0.5905511811023623" top="0.5905511811023623" bottom="0.4724409448818898" header="0.5118110236220472" footer="0.31496062992125984"/>
  <pageSetup firstPageNumber="5" useFirstPageNumber="1" horizontalDpi="300" verticalDpi="3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C35"/>
  <sheetViews>
    <sheetView zoomScaleSheetLayoutView="75" workbookViewId="0" topLeftCell="A1">
      <selection activeCell="C4" sqref="C4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0" customWidth="1"/>
    <col min="10" max="11" width="13.375" style="0" customWidth="1"/>
    <col min="12" max="16384" width="11.375" style="0" customWidth="1"/>
  </cols>
  <sheetData>
    <row r="1" spans="1:8" ht="15" customHeight="1">
      <c r="A1" s="98"/>
      <c r="B1" s="98"/>
      <c r="C1" s="98"/>
      <c r="D1" s="99"/>
      <c r="E1" s="99"/>
      <c r="F1" s="99"/>
      <c r="G1" s="100" t="s">
        <v>226</v>
      </c>
      <c r="H1" s="99"/>
    </row>
    <row r="2" spans="1:8" ht="15" customHeight="1">
      <c r="A2" s="98"/>
      <c r="B2" s="98"/>
      <c r="C2" s="98"/>
      <c r="D2" s="99"/>
      <c r="E2" s="99"/>
      <c r="F2" s="99"/>
      <c r="G2" s="1" t="s">
        <v>229</v>
      </c>
      <c r="H2" s="99"/>
    </row>
    <row r="3" spans="1:8" ht="15" customHeight="1">
      <c r="A3" s="98"/>
      <c r="B3" s="98"/>
      <c r="C3" s="101" t="s">
        <v>129</v>
      </c>
      <c r="D3" s="99"/>
      <c r="E3" s="99"/>
      <c r="F3" s="99"/>
      <c r="G3" s="1" t="s">
        <v>85</v>
      </c>
      <c r="H3" s="99"/>
    </row>
    <row r="4" spans="1:8" ht="15" customHeight="1">
      <c r="A4" s="98"/>
      <c r="B4" s="98"/>
      <c r="C4" s="102"/>
      <c r="D4" s="99"/>
      <c r="E4" s="99"/>
      <c r="F4" s="99"/>
      <c r="G4" s="1" t="s">
        <v>224</v>
      </c>
      <c r="H4" s="99"/>
    </row>
    <row r="5" spans="1:8" ht="15" customHeight="1">
      <c r="A5" s="98"/>
      <c r="B5" s="98"/>
      <c r="C5" s="103"/>
      <c r="D5" s="99"/>
      <c r="E5" s="99"/>
      <c r="F5" s="99"/>
      <c r="G5" s="99"/>
      <c r="H5" s="99"/>
    </row>
    <row r="6" spans="1:8" ht="15" customHeight="1" thickBot="1">
      <c r="A6" s="98"/>
      <c r="B6" s="98"/>
      <c r="C6" s="98"/>
      <c r="D6" s="99"/>
      <c r="E6" s="99"/>
      <c r="F6" s="99"/>
      <c r="G6" s="99"/>
      <c r="H6" s="104" t="s">
        <v>87</v>
      </c>
    </row>
    <row r="7" spans="1:8" ht="17.25" customHeight="1" thickTop="1">
      <c r="A7" s="105"/>
      <c r="B7" s="105"/>
      <c r="C7" s="106" t="s">
        <v>84</v>
      </c>
      <c r="D7" s="378" t="s">
        <v>130</v>
      </c>
      <c r="E7" s="107"/>
      <c r="F7" s="108"/>
      <c r="G7" s="108"/>
      <c r="H7" s="107"/>
    </row>
    <row r="8" spans="1:8" ht="30" customHeight="1" thickBot="1">
      <c r="A8" s="109" t="s">
        <v>63</v>
      </c>
      <c r="B8" s="109" t="s">
        <v>89</v>
      </c>
      <c r="C8" s="110" t="s">
        <v>137</v>
      </c>
      <c r="D8" s="379"/>
      <c r="E8" s="111" t="s">
        <v>79</v>
      </c>
      <c r="F8" s="111" t="s">
        <v>80</v>
      </c>
      <c r="G8" s="111" t="s">
        <v>81</v>
      </c>
      <c r="H8" s="111" t="s">
        <v>82</v>
      </c>
    </row>
    <row r="9" spans="1:8" ht="14.25" customHeight="1" thickBot="1" thickTop="1">
      <c r="A9" s="112">
        <v>1</v>
      </c>
      <c r="B9" s="112">
        <v>2</v>
      </c>
      <c r="C9" s="112">
        <v>3</v>
      </c>
      <c r="D9" s="113">
        <v>4</v>
      </c>
      <c r="E9" s="113">
        <v>5</v>
      </c>
      <c r="F9" s="113">
        <v>6</v>
      </c>
      <c r="G9" s="113">
        <v>7</v>
      </c>
      <c r="H9" s="113">
        <v>8</v>
      </c>
    </row>
    <row r="10" spans="1:133" s="114" customFormat="1" ht="21.75" customHeight="1" thickBot="1" thickTop="1">
      <c r="A10" s="119"/>
      <c r="B10" s="119"/>
      <c r="C10" s="120" t="s">
        <v>93</v>
      </c>
      <c r="D10" s="121">
        <f>SUM(E10:H10)</f>
        <v>794699581</v>
      </c>
      <c r="E10" s="121">
        <v>181780792</v>
      </c>
      <c r="F10" s="121">
        <v>195353690</v>
      </c>
      <c r="G10" s="121">
        <v>210320904</v>
      </c>
      <c r="H10" s="121">
        <f>205896907+H17+H21+H26+H30</f>
        <v>207244195</v>
      </c>
      <c r="I10" s="60"/>
      <c r="J10" s="60">
        <f>'Wyd Pr'!H8</f>
        <v>794699581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0" ht="12.75" customHeight="1">
      <c r="A11" s="122"/>
      <c r="B11" s="122"/>
      <c r="C11" s="123" t="s">
        <v>70</v>
      </c>
      <c r="D11" s="124"/>
      <c r="E11" s="125"/>
      <c r="F11" s="125"/>
      <c r="G11" s="125"/>
      <c r="H11" s="125"/>
      <c r="J11" s="60">
        <f>D10-J10</f>
        <v>0</v>
      </c>
    </row>
    <row r="12" spans="1:133" s="94" customFormat="1" ht="13.5" customHeight="1">
      <c r="A12" s="145"/>
      <c r="B12" s="145"/>
      <c r="C12" s="146" t="s">
        <v>67</v>
      </c>
      <c r="D12" s="148">
        <f aca="true" t="shared" si="0" ref="D12:D29">SUM(E12:H12)</f>
        <v>308741319</v>
      </c>
      <c r="E12" s="148">
        <v>51384350</v>
      </c>
      <c r="F12" s="148">
        <v>69484172</v>
      </c>
      <c r="G12" s="148">
        <v>98808801</v>
      </c>
      <c r="H12" s="148">
        <f>89632117+H17+H21</f>
        <v>89063996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s="141" customFormat="1" ht="18.75" customHeight="1">
      <c r="A13" s="152"/>
      <c r="B13" s="12"/>
      <c r="C13" s="140" t="s">
        <v>43</v>
      </c>
      <c r="D13" s="142">
        <f t="shared" si="0"/>
        <v>19844923</v>
      </c>
      <c r="E13" s="224">
        <v>4461655</v>
      </c>
      <c r="F13" s="224">
        <v>4931050</v>
      </c>
      <c r="G13" s="224">
        <v>4698508</v>
      </c>
      <c r="H13" s="224">
        <f>6321831+H17+H21</f>
        <v>5753710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s="141" customFormat="1" ht="21.75" customHeight="1" thickBot="1">
      <c r="A14" s="218"/>
      <c r="B14" s="26"/>
      <c r="C14" s="36" t="s">
        <v>95</v>
      </c>
      <c r="D14" s="64">
        <f>SUM(E14:H14)</f>
        <v>19344869</v>
      </c>
      <c r="E14" s="64">
        <v>4411655</v>
      </c>
      <c r="F14" s="64">
        <v>4764228</v>
      </c>
      <c r="G14" s="64">
        <v>4589201</v>
      </c>
      <c r="H14" s="64">
        <f>6255716+H17</f>
        <v>5579785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5" spans="1:133" s="246" customFormat="1" ht="21.75" customHeight="1" thickTop="1">
      <c r="A15" s="66">
        <v>854</v>
      </c>
      <c r="B15" s="341"/>
      <c r="C15" s="342" t="s">
        <v>71</v>
      </c>
      <c r="D15" s="349">
        <f>SUM(E15:H15)</f>
        <v>1237201</v>
      </c>
      <c r="E15" s="349">
        <v>295653</v>
      </c>
      <c r="F15" s="349">
        <v>284334</v>
      </c>
      <c r="G15" s="349">
        <v>319009</v>
      </c>
      <c r="H15" s="349">
        <f>1014136+H17</f>
        <v>338205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6" spans="1:133" s="246" customFormat="1" ht="21.75" customHeight="1">
      <c r="A16" s="12"/>
      <c r="B16" s="344">
        <v>85415</v>
      </c>
      <c r="C16" s="346" t="s">
        <v>97</v>
      </c>
      <c r="D16" s="347">
        <f>SUM(E16:H16)</f>
        <v>747024</v>
      </c>
      <c r="E16" s="347"/>
      <c r="F16" s="347"/>
      <c r="G16" s="347">
        <v>20329</v>
      </c>
      <c r="H16" s="347">
        <v>726695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</row>
    <row r="17" spans="1:133" s="141" customFormat="1" ht="21.75" customHeight="1">
      <c r="A17" s="24"/>
      <c r="B17" s="42"/>
      <c r="C17" s="345"/>
      <c r="D17" s="23">
        <f>SUM(E17:H17)</f>
        <v>-675931</v>
      </c>
      <c r="E17" s="23"/>
      <c r="F17" s="23"/>
      <c r="G17" s="23"/>
      <c r="H17" s="23">
        <v>-675931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</row>
    <row r="18" spans="1:133" s="141" customFormat="1" ht="30" customHeight="1" thickBot="1">
      <c r="A18" s="218"/>
      <c r="B18" s="26"/>
      <c r="C18" s="36" t="s">
        <v>52</v>
      </c>
      <c r="D18" s="64">
        <f t="shared" si="0"/>
        <v>500054</v>
      </c>
      <c r="E18" s="64">
        <v>50000</v>
      </c>
      <c r="F18" s="64">
        <v>166822</v>
      </c>
      <c r="G18" s="64">
        <v>109307</v>
      </c>
      <c r="H18" s="64">
        <f>66115+H21</f>
        <v>173925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</row>
    <row r="19" spans="1:133" s="246" customFormat="1" ht="21.75" customHeight="1" thickTop="1">
      <c r="A19" s="66">
        <v>854</v>
      </c>
      <c r="B19" s="341"/>
      <c r="C19" s="342" t="s">
        <v>71</v>
      </c>
      <c r="D19" s="349">
        <f>SUM(E19:H19)</f>
        <v>190054</v>
      </c>
      <c r="E19" s="349"/>
      <c r="F19" s="349">
        <v>82244</v>
      </c>
      <c r="G19" s="349"/>
      <c r="H19" s="349">
        <f>H21</f>
        <v>107810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</row>
    <row r="20" spans="1:133" s="246" customFormat="1" ht="21.75" customHeight="1">
      <c r="A20" s="12"/>
      <c r="B20" s="344">
        <v>85415</v>
      </c>
      <c r="C20" s="346" t="s">
        <v>97</v>
      </c>
      <c r="D20" s="347">
        <f t="shared" si="0"/>
        <v>82244</v>
      </c>
      <c r="E20" s="347"/>
      <c r="F20" s="347">
        <v>82244</v>
      </c>
      <c r="G20" s="347"/>
      <c r="H20" s="34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</row>
    <row r="21" spans="1:133" s="141" customFormat="1" ht="21.75" customHeight="1">
      <c r="A21" s="24"/>
      <c r="B21" s="42"/>
      <c r="C21" s="345"/>
      <c r="D21" s="23">
        <f>SUM(E21:H21)</f>
        <v>107810</v>
      </c>
      <c r="E21" s="23"/>
      <c r="F21" s="23"/>
      <c r="G21" s="23"/>
      <c r="H21" s="23">
        <v>107810</v>
      </c>
      <c r="I21" s="23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</row>
    <row r="22" spans="1:8" ht="18.75" customHeight="1">
      <c r="A22" s="154"/>
      <c r="B22" s="154"/>
      <c r="C22" s="140" t="s">
        <v>44</v>
      </c>
      <c r="D22" s="147">
        <f t="shared" si="0"/>
        <v>334371095</v>
      </c>
      <c r="E22" s="147">
        <v>92581527</v>
      </c>
      <c r="F22" s="147">
        <v>88480407</v>
      </c>
      <c r="G22" s="147">
        <v>75500120</v>
      </c>
      <c r="H22" s="147">
        <f>75893632+H26+H30</f>
        <v>77809041</v>
      </c>
    </row>
    <row r="23" spans="1:133" s="141" customFormat="1" ht="21.75" customHeight="1" thickBot="1">
      <c r="A23" s="218"/>
      <c r="B23" s="26"/>
      <c r="C23" s="36" t="s">
        <v>95</v>
      </c>
      <c r="D23" s="64">
        <f t="shared" si="0"/>
        <v>331926129</v>
      </c>
      <c r="E23" s="64">
        <v>92581279</v>
      </c>
      <c r="F23" s="64">
        <v>86865985</v>
      </c>
      <c r="G23" s="64">
        <v>75393659</v>
      </c>
      <c r="H23" s="64">
        <f>75883797+H26</f>
        <v>77085206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</row>
    <row r="24" spans="1:133" s="246" customFormat="1" ht="18.75" customHeight="1" thickTop="1">
      <c r="A24" s="66">
        <v>854</v>
      </c>
      <c r="B24" s="341"/>
      <c r="C24" s="342" t="s">
        <v>71</v>
      </c>
      <c r="D24" s="349">
        <f>SUM(E24:H24)</f>
        <v>37851641</v>
      </c>
      <c r="E24" s="349">
        <v>10084286</v>
      </c>
      <c r="F24" s="349">
        <v>9195830</v>
      </c>
      <c r="G24" s="349">
        <v>7934187</v>
      </c>
      <c r="H24" s="349">
        <f>9435929+H26</f>
        <v>10637338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</row>
    <row r="25" spans="1:133" s="246" customFormat="1" ht="18.75" customHeight="1">
      <c r="A25" s="12"/>
      <c r="B25" s="344">
        <v>85415</v>
      </c>
      <c r="C25" s="346" t="s">
        <v>97</v>
      </c>
      <c r="D25" s="347">
        <f>SUM(E25:H25)</f>
        <v>867780</v>
      </c>
      <c r="E25" s="347">
        <v>116687</v>
      </c>
      <c r="F25" s="347">
        <v>406236</v>
      </c>
      <c r="G25" s="347">
        <v>211423</v>
      </c>
      <c r="H25" s="347">
        <v>133434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</row>
    <row r="26" spans="1:133" s="141" customFormat="1" ht="18.75" customHeight="1">
      <c r="A26" s="24"/>
      <c r="B26" s="42"/>
      <c r="C26" s="345"/>
      <c r="D26" s="23">
        <f>SUM(E26:H26)</f>
        <v>1201409</v>
      </c>
      <c r="E26" s="23"/>
      <c r="F26" s="23"/>
      <c r="G26" s="23"/>
      <c r="H26" s="23">
        <v>1201409</v>
      </c>
      <c r="I26" s="23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</row>
    <row r="27" spans="1:8" ht="29.25" customHeight="1" thickBot="1">
      <c r="A27" s="218"/>
      <c r="B27" s="26"/>
      <c r="C27" s="36" t="s">
        <v>52</v>
      </c>
      <c r="D27" s="133">
        <f t="shared" si="0"/>
        <v>2417869</v>
      </c>
      <c r="E27" s="133"/>
      <c r="F27" s="133">
        <v>1603869</v>
      </c>
      <c r="G27" s="133">
        <v>100000</v>
      </c>
      <c r="H27" s="133">
        <f>H30</f>
        <v>714000</v>
      </c>
    </row>
    <row r="28" spans="1:8" s="1" customFormat="1" ht="18.75" customHeight="1" thickTop="1">
      <c r="A28" s="66">
        <v>854</v>
      </c>
      <c r="B28" s="341"/>
      <c r="C28" s="342" t="s">
        <v>71</v>
      </c>
      <c r="D28" s="350">
        <f t="shared" si="0"/>
        <v>2317869</v>
      </c>
      <c r="E28" s="350"/>
      <c r="F28" s="350">
        <v>1603869</v>
      </c>
      <c r="G28" s="350"/>
      <c r="H28" s="350">
        <f>H30</f>
        <v>714000</v>
      </c>
    </row>
    <row r="29" spans="1:10" s="1" customFormat="1" ht="19.5" customHeight="1">
      <c r="A29" s="20"/>
      <c r="B29" s="338">
        <v>85415</v>
      </c>
      <c r="C29" s="339" t="s">
        <v>97</v>
      </c>
      <c r="D29" s="348">
        <f t="shared" si="0"/>
        <v>1603869</v>
      </c>
      <c r="E29" s="348"/>
      <c r="F29" s="348">
        <v>1603869</v>
      </c>
      <c r="G29" s="348"/>
      <c r="H29" s="348"/>
      <c r="J29" s="282"/>
    </row>
    <row r="30" spans="1:8" s="25" customFormat="1" ht="17.25" customHeight="1">
      <c r="A30" s="21"/>
      <c r="B30" s="21"/>
      <c r="C30" s="21"/>
      <c r="D30" s="23">
        <f>SUM(E30:H30)</f>
        <v>714000</v>
      </c>
      <c r="E30" s="23"/>
      <c r="F30" s="23"/>
      <c r="G30" s="23"/>
      <c r="H30" s="23">
        <v>714000</v>
      </c>
    </row>
    <row r="33" spans="2:5" ht="12.75">
      <c r="B33" t="s">
        <v>236</v>
      </c>
      <c r="E33" s="60"/>
    </row>
    <row r="34" ht="12.75">
      <c r="B34" t="s">
        <v>237</v>
      </c>
    </row>
    <row r="35" ht="12.75">
      <c r="B35" t="s">
        <v>238</v>
      </c>
    </row>
  </sheetData>
  <mergeCells count="1">
    <mergeCell ref="D7:D8"/>
  </mergeCells>
  <printOptions horizontalCentered="1"/>
  <pageMargins left="0.3937007874015748" right="0.3937007874015748" top="0.5905511811023623" bottom="0.52" header="0.5118110236220472" footer="0.35"/>
  <pageSetup firstPageNumber="20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75" workbookViewId="0" topLeftCell="A19">
      <selection activeCell="D4" sqref="D4"/>
    </sheetView>
  </sheetViews>
  <sheetFormatPr defaultColWidth="9.00390625" defaultRowHeight="12.75"/>
  <cols>
    <col min="1" max="1" width="8.375" style="1" customWidth="1"/>
    <col min="2" max="2" width="8.75390625" style="1" customWidth="1"/>
    <col min="3" max="3" width="53.375" style="1" customWidth="1"/>
    <col min="4" max="4" width="22.125" style="1" customWidth="1"/>
    <col min="5" max="5" width="15.00390625" style="1" hidden="1" customWidth="1"/>
    <col min="6" max="6" width="23.00390625" style="1" customWidth="1"/>
    <col min="7" max="7" width="22.125" style="1" customWidth="1"/>
    <col min="8" max="8" width="10.375" style="94" bestFit="1" customWidth="1"/>
    <col min="9" max="9" width="11.00390625" style="94" customWidth="1"/>
    <col min="10" max="16384" width="9.125" style="94" customWidth="1"/>
  </cols>
  <sheetData>
    <row r="1" ht="16.5" customHeight="1">
      <c r="F1" s="1" t="s">
        <v>76</v>
      </c>
    </row>
    <row r="2" ht="16.5" customHeight="1">
      <c r="F2" s="1" t="s">
        <v>229</v>
      </c>
    </row>
    <row r="3" ht="16.5" customHeight="1">
      <c r="F3" s="1" t="s">
        <v>85</v>
      </c>
    </row>
    <row r="4" spans="3:6" ht="16.5" customHeight="1">
      <c r="C4" s="2" t="s">
        <v>119</v>
      </c>
      <c r="F4" s="1" t="s">
        <v>224</v>
      </c>
    </row>
    <row r="5" ht="15.75" customHeight="1" thickBot="1">
      <c r="G5" s="3" t="s">
        <v>87</v>
      </c>
    </row>
    <row r="6" spans="1:7" ht="91.5" customHeight="1" thickBot="1" thickTop="1">
      <c r="A6" s="4" t="s">
        <v>88</v>
      </c>
      <c r="B6" s="4" t="s">
        <v>89</v>
      </c>
      <c r="C6" s="5" t="s">
        <v>33</v>
      </c>
      <c r="D6" s="5" t="s">
        <v>120</v>
      </c>
      <c r="E6" s="5" t="s">
        <v>164</v>
      </c>
      <c r="F6" s="5" t="s">
        <v>55</v>
      </c>
      <c r="G6" s="5" t="s">
        <v>92</v>
      </c>
    </row>
    <row r="7" spans="1:7" ht="18.75" customHeight="1" thickBot="1" thickTop="1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5</v>
      </c>
      <c r="G7" s="7">
        <v>6</v>
      </c>
    </row>
    <row r="8" spans="1:7" ht="21.75" customHeight="1" thickBot="1" thickTop="1">
      <c r="A8" s="8"/>
      <c r="B8" s="9"/>
      <c r="C8" s="10" t="s">
        <v>93</v>
      </c>
      <c r="D8" s="11">
        <v>793352293</v>
      </c>
      <c r="E8" s="11"/>
      <c r="F8" s="11">
        <f>F10+F14+F21</f>
        <v>1347288</v>
      </c>
      <c r="G8" s="11">
        <f>D8+F8</f>
        <v>794699581</v>
      </c>
    </row>
    <row r="9" spans="1:7" ht="17.25" customHeight="1">
      <c r="A9" s="12"/>
      <c r="B9" s="12"/>
      <c r="C9" s="12" t="s">
        <v>94</v>
      </c>
      <c r="D9" s="13"/>
      <c r="E9" s="13"/>
      <c r="F9" s="13"/>
      <c r="G9" s="13"/>
    </row>
    <row r="10" spans="1:7" ht="18.75" customHeight="1" thickBot="1">
      <c r="A10" s="8"/>
      <c r="B10" s="8"/>
      <c r="C10" s="15" t="s">
        <v>95</v>
      </c>
      <c r="D10" s="16">
        <v>707680987</v>
      </c>
      <c r="E10" s="16"/>
      <c r="F10" s="16">
        <f>F11</f>
        <v>525478</v>
      </c>
      <c r="G10" s="16">
        <f aca="true" t="shared" si="0" ref="G10:G18">D10+F10</f>
        <v>708206465</v>
      </c>
    </row>
    <row r="11" spans="1:7" ht="21" customHeight="1" thickTop="1">
      <c r="A11" s="34">
        <v>854</v>
      </c>
      <c r="B11" s="34"/>
      <c r="C11" s="18" t="s">
        <v>71</v>
      </c>
      <c r="D11" s="27">
        <v>38913364</v>
      </c>
      <c r="E11" s="27"/>
      <c r="F11" s="27">
        <f>F12</f>
        <v>525478</v>
      </c>
      <c r="G11" s="27">
        <f t="shared" si="0"/>
        <v>39438842</v>
      </c>
    </row>
    <row r="12" spans="1:7" ht="21" customHeight="1">
      <c r="A12" s="8"/>
      <c r="B12" s="28">
        <v>85415</v>
      </c>
      <c r="C12" s="43" t="s">
        <v>97</v>
      </c>
      <c r="D12" s="54">
        <v>1814804</v>
      </c>
      <c r="E12" s="54"/>
      <c r="F12" s="54">
        <f>F13</f>
        <v>525478</v>
      </c>
      <c r="G12" s="54">
        <f t="shared" si="0"/>
        <v>2340282</v>
      </c>
    </row>
    <row r="13" spans="1:7" ht="27" customHeight="1">
      <c r="A13" s="12"/>
      <c r="B13" s="20"/>
      <c r="C13" s="318" t="s">
        <v>163</v>
      </c>
      <c r="D13" s="219">
        <v>1215212</v>
      </c>
      <c r="E13" s="219"/>
      <c r="F13" s="219">
        <v>525478</v>
      </c>
      <c r="G13" s="219">
        <f t="shared" si="0"/>
        <v>1740690</v>
      </c>
    </row>
    <row r="14" spans="1:7" ht="31.5" customHeight="1" thickBot="1">
      <c r="A14" s="12"/>
      <c r="B14" s="12"/>
      <c r="C14" s="36" t="s">
        <v>52</v>
      </c>
      <c r="D14" s="351">
        <v>5287913</v>
      </c>
      <c r="E14" s="64"/>
      <c r="F14" s="64">
        <f>F16</f>
        <v>821810</v>
      </c>
      <c r="G14" s="64">
        <f t="shared" si="0"/>
        <v>6109723</v>
      </c>
    </row>
    <row r="15" spans="1:7" ht="0.75" customHeight="1" thickTop="1">
      <c r="A15" s="12"/>
      <c r="B15" s="12"/>
      <c r="C15" s="22" t="s">
        <v>96</v>
      </c>
      <c r="D15" s="29"/>
      <c r="E15" s="29"/>
      <c r="F15" s="29"/>
      <c r="G15" s="29">
        <f t="shared" si="0"/>
        <v>0</v>
      </c>
    </row>
    <row r="16" spans="1:7" ht="21" customHeight="1">
      <c r="A16" s="34">
        <v>854</v>
      </c>
      <c r="B16" s="34"/>
      <c r="C16" s="18" t="s">
        <v>71</v>
      </c>
      <c r="D16" s="27">
        <v>1686113</v>
      </c>
      <c r="E16" s="27"/>
      <c r="F16" s="27">
        <f>F17</f>
        <v>821810</v>
      </c>
      <c r="G16" s="27">
        <f t="shared" si="0"/>
        <v>2507923</v>
      </c>
    </row>
    <row r="17" spans="1:7" ht="21" customHeight="1">
      <c r="A17" s="8"/>
      <c r="B17" s="28">
        <v>85415</v>
      </c>
      <c r="C17" s="43" t="s">
        <v>97</v>
      </c>
      <c r="D17" s="54">
        <v>1686113</v>
      </c>
      <c r="E17" s="54"/>
      <c r="F17" s="54">
        <f>F18</f>
        <v>821810</v>
      </c>
      <c r="G17" s="54">
        <f t="shared" si="0"/>
        <v>2507923</v>
      </c>
    </row>
    <row r="18" spans="1:7" ht="28.5" customHeight="1">
      <c r="A18" s="12"/>
      <c r="B18" s="20"/>
      <c r="C18" s="32" t="s">
        <v>232</v>
      </c>
      <c r="D18" s="366"/>
      <c r="E18" s="366"/>
      <c r="F18" s="366">
        <v>821810</v>
      </c>
      <c r="G18" s="366">
        <f t="shared" si="0"/>
        <v>821810</v>
      </c>
    </row>
    <row r="19" spans="1:7" ht="15.75" customHeight="1">
      <c r="A19" s="24"/>
      <c r="B19" s="24"/>
      <c r="C19" s="364" t="s">
        <v>231</v>
      </c>
      <c r="D19" s="365"/>
      <c r="E19" s="365"/>
      <c r="F19" s="365">
        <v>14856</v>
      </c>
      <c r="G19" s="365">
        <f>F19</f>
        <v>14856</v>
      </c>
    </row>
    <row r="20" spans="1:7" ht="15.75" customHeight="1">
      <c r="A20" s="24"/>
      <c r="B20" s="24"/>
      <c r="C20" s="22" t="s">
        <v>233</v>
      </c>
      <c r="D20" s="363"/>
      <c r="E20" s="363"/>
      <c r="F20" s="363">
        <v>15450</v>
      </c>
      <c r="G20" s="363">
        <f>F20</f>
        <v>15450</v>
      </c>
    </row>
    <row r="21" spans="1:7" ht="20.25" customHeight="1">
      <c r="A21" s="41"/>
      <c r="B21" s="42"/>
      <c r="C21" s="239" t="s">
        <v>133</v>
      </c>
      <c r="D21" s="240">
        <v>80383393</v>
      </c>
      <c r="E21" s="240"/>
      <c r="F21" s="240"/>
      <c r="G21" s="240">
        <f>D21+F21</f>
        <v>80383393</v>
      </c>
    </row>
    <row r="25" ht="12.75">
      <c r="C25" s="1" t="s">
        <v>236</v>
      </c>
    </row>
    <row r="26" ht="12.75">
      <c r="C26" s="1" t="s">
        <v>237</v>
      </c>
    </row>
    <row r="27" ht="12.75">
      <c r="C27" s="1" t="s">
        <v>238</v>
      </c>
    </row>
  </sheetData>
  <printOptions horizontalCentered="1"/>
  <pageMargins left="0.5905511811023623" right="0.5905511811023623" top="0.5905511811023623" bottom="0.4724409448818898" header="0.5118110236220472" footer="0.31496062992125984"/>
  <pageSetup firstPageNumber="6" useFirstPageNumber="1" horizontalDpi="300" verticalDpi="3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1"/>
  <dimension ref="A1:N25"/>
  <sheetViews>
    <sheetView zoomScale="90" zoomScaleNormal="90" zoomScaleSheetLayoutView="75" workbookViewId="0" topLeftCell="A1">
      <selection activeCell="E3" sqref="E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41.875" style="306" customWidth="1"/>
    <col min="4" max="4" width="17.75390625" style="0" customWidth="1"/>
    <col min="5" max="8" width="12.75390625" style="0" customWidth="1"/>
    <col min="9" max="9" width="16.1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1" customFormat="1" ht="15.75" customHeight="1">
      <c r="C1" s="243"/>
      <c r="J1" s="244" t="s">
        <v>53</v>
      </c>
    </row>
    <row r="2" spans="3:10" s="1" customFormat="1" ht="15.75" customHeight="1">
      <c r="C2" s="243"/>
      <c r="J2" s="1" t="s">
        <v>229</v>
      </c>
    </row>
    <row r="3" spans="3:10" s="1" customFormat="1" ht="15.75" customHeight="1">
      <c r="C3" s="245" t="s">
        <v>150</v>
      </c>
      <c r="J3" s="1" t="s">
        <v>85</v>
      </c>
    </row>
    <row r="4" spans="3:10" s="1" customFormat="1" ht="15.75" customHeight="1">
      <c r="C4" s="243"/>
      <c r="J4" s="1" t="s">
        <v>224</v>
      </c>
    </row>
    <row r="5" spans="2:12" s="1" customFormat="1" ht="14.25" customHeight="1" thickBot="1">
      <c r="B5" s="44"/>
      <c r="C5" s="243"/>
      <c r="I5" s="282"/>
      <c r="K5" s="246"/>
      <c r="L5" s="247" t="s">
        <v>87</v>
      </c>
    </row>
    <row r="6" spans="1:12" s="1" customFormat="1" ht="42" customHeight="1" thickBot="1" thickTop="1">
      <c r="A6" s="248"/>
      <c r="B6" s="248"/>
      <c r="C6" s="249"/>
      <c r="D6" s="370" t="s">
        <v>151</v>
      </c>
      <c r="E6" s="250" t="s">
        <v>94</v>
      </c>
      <c r="F6" s="251"/>
      <c r="G6" s="251"/>
      <c r="H6" s="252"/>
      <c r="I6" s="253" t="s">
        <v>152</v>
      </c>
      <c r="J6" s="250" t="s">
        <v>94</v>
      </c>
      <c r="K6" s="254"/>
      <c r="L6" s="255"/>
    </row>
    <row r="7" spans="1:12" s="1" customFormat="1" ht="67.5" customHeight="1" thickBot="1" thickTop="1">
      <c r="A7" s="256" t="s">
        <v>88</v>
      </c>
      <c r="B7" s="257" t="s">
        <v>153</v>
      </c>
      <c r="C7" s="257" t="s">
        <v>154</v>
      </c>
      <c r="D7" s="371"/>
      <c r="E7" s="238" t="s">
        <v>155</v>
      </c>
      <c r="F7" s="238" t="s">
        <v>156</v>
      </c>
      <c r="G7" s="238" t="s">
        <v>157</v>
      </c>
      <c r="H7" s="258" t="s">
        <v>158</v>
      </c>
      <c r="I7" s="257" t="s">
        <v>159</v>
      </c>
      <c r="J7" s="238" t="s">
        <v>155</v>
      </c>
      <c r="K7" s="238" t="s">
        <v>156</v>
      </c>
      <c r="L7" s="238" t="s">
        <v>157</v>
      </c>
    </row>
    <row r="8" spans="1:12" s="262" customFormat="1" ht="13.5" customHeight="1" thickBot="1" thickTop="1">
      <c r="A8" s="259">
        <v>1</v>
      </c>
      <c r="B8" s="259">
        <v>2</v>
      </c>
      <c r="C8" s="260">
        <v>3</v>
      </c>
      <c r="D8" s="259">
        <v>4</v>
      </c>
      <c r="E8" s="259">
        <v>5</v>
      </c>
      <c r="F8" s="261">
        <v>6</v>
      </c>
      <c r="G8" s="259">
        <v>7</v>
      </c>
      <c r="H8" s="259">
        <v>8</v>
      </c>
      <c r="I8" s="259">
        <v>9</v>
      </c>
      <c r="J8" s="259">
        <v>10</v>
      </c>
      <c r="K8" s="261">
        <v>11</v>
      </c>
      <c r="L8" s="261">
        <v>12</v>
      </c>
    </row>
    <row r="9" spans="1:14" s="269" customFormat="1" ht="21" customHeight="1" thickBot="1" thickTop="1">
      <c r="A9" s="263"/>
      <c r="B9" s="263"/>
      <c r="C9" s="264" t="s">
        <v>160</v>
      </c>
      <c r="D9" s="265">
        <f>SUM(E9:G9)</f>
        <v>103632155</v>
      </c>
      <c r="E9" s="265">
        <v>91583944</v>
      </c>
      <c r="F9" s="265">
        <v>7391112</v>
      </c>
      <c r="G9" s="265">
        <v>4657099</v>
      </c>
      <c r="H9" s="266">
        <f>H11+H12</f>
        <v>15450</v>
      </c>
      <c r="I9" s="267">
        <f>SUM(J9:L9)</f>
        <v>103647605</v>
      </c>
      <c r="J9" s="265">
        <f>E9</f>
        <v>91583944</v>
      </c>
      <c r="K9" s="265">
        <f>F9+10514</f>
        <v>7401626</v>
      </c>
      <c r="L9" s="265">
        <f>G9+4936</f>
        <v>4662035</v>
      </c>
      <c r="M9" s="268"/>
      <c r="N9" s="60"/>
    </row>
    <row r="10" spans="1:12" s="276" customFormat="1" ht="11.25" customHeight="1">
      <c r="A10" s="270"/>
      <c r="B10" s="270"/>
      <c r="C10" s="271" t="s">
        <v>94</v>
      </c>
      <c r="D10" s="272"/>
      <c r="E10" s="272"/>
      <c r="F10" s="272"/>
      <c r="G10" s="273"/>
      <c r="H10" s="274"/>
      <c r="I10" s="275"/>
      <c r="J10" s="272"/>
      <c r="K10" s="272"/>
      <c r="L10" s="272"/>
    </row>
    <row r="11" spans="1:14" ht="21" customHeight="1" thickBot="1">
      <c r="A11" s="277"/>
      <c r="B11" s="277"/>
      <c r="C11" s="278" t="s">
        <v>95</v>
      </c>
      <c r="D11" s="279">
        <f>SUM(E11:G11)</f>
        <v>103062155</v>
      </c>
      <c r="E11" s="279">
        <v>91583944</v>
      </c>
      <c r="F11" s="279">
        <v>7367112</v>
      </c>
      <c r="G11" s="279">
        <v>4111099</v>
      </c>
      <c r="H11" s="280"/>
      <c r="I11" s="281">
        <f>SUM(J11:L11)</f>
        <v>103062155</v>
      </c>
      <c r="J11" s="279">
        <f>E11+H11</f>
        <v>91583944</v>
      </c>
      <c r="K11" s="279">
        <f>F11</f>
        <v>7367112</v>
      </c>
      <c r="L11" s="279">
        <f>G11</f>
        <v>4111099</v>
      </c>
      <c r="M11" s="60"/>
      <c r="N11" s="60"/>
    </row>
    <row r="12" spans="1:14" ht="30" customHeight="1" thickBot="1" thickTop="1">
      <c r="A12" s="277"/>
      <c r="B12" s="277"/>
      <c r="C12" s="278" t="s">
        <v>51</v>
      </c>
      <c r="D12" s="279">
        <f>SUM(E12:G12)</f>
        <v>24000</v>
      </c>
      <c r="E12" s="279"/>
      <c r="F12" s="279">
        <v>24000</v>
      </c>
      <c r="G12" s="279"/>
      <c r="H12" s="280">
        <f>H13</f>
        <v>15450</v>
      </c>
      <c r="I12" s="281">
        <f>SUM(J12:L12)</f>
        <v>39450</v>
      </c>
      <c r="J12" s="279"/>
      <c r="K12" s="279">
        <f>F12+10514</f>
        <v>34514</v>
      </c>
      <c r="L12" s="279">
        <f>4936</f>
        <v>4936</v>
      </c>
      <c r="M12" s="60"/>
      <c r="N12" s="60"/>
    </row>
    <row r="13" spans="1:14" s="44" customFormat="1" ht="21" customHeight="1" thickBot="1" thickTop="1">
      <c r="A13" s="362">
        <v>854</v>
      </c>
      <c r="B13" s="362"/>
      <c r="C13" s="291" t="s">
        <v>71</v>
      </c>
      <c r="D13" s="292"/>
      <c r="E13" s="291"/>
      <c r="F13" s="291"/>
      <c r="G13" s="293"/>
      <c r="H13" s="294">
        <f>H14</f>
        <v>15450</v>
      </c>
      <c r="I13" s="295">
        <f>SUM(J13:L13)</f>
        <v>15450</v>
      </c>
      <c r="J13" s="291"/>
      <c r="K13" s="291">
        <f>K14</f>
        <v>10514</v>
      </c>
      <c r="L13" s="291">
        <f>L14</f>
        <v>4936</v>
      </c>
      <c r="M13" s="296"/>
      <c r="N13" s="296"/>
    </row>
    <row r="14" spans="1:14" s="1" customFormat="1" ht="23.25" customHeight="1">
      <c r="A14" s="297"/>
      <c r="B14" s="287">
        <v>85415</v>
      </c>
      <c r="C14" s="288" t="s">
        <v>97</v>
      </c>
      <c r="D14" s="288"/>
      <c r="E14" s="288"/>
      <c r="F14" s="288"/>
      <c r="G14" s="289"/>
      <c r="H14" s="298">
        <f>H15</f>
        <v>15450</v>
      </c>
      <c r="I14" s="290">
        <f>SUM(J14:L14)</f>
        <v>15450</v>
      </c>
      <c r="J14" s="288"/>
      <c r="K14" s="288">
        <f>K15</f>
        <v>10514</v>
      </c>
      <c r="L14" s="288">
        <f>L15</f>
        <v>4936</v>
      </c>
      <c r="M14" s="282"/>
      <c r="N14" s="282"/>
    </row>
    <row r="15" spans="1:14" s="1" customFormat="1" ht="39" customHeight="1">
      <c r="A15" s="297"/>
      <c r="B15" s="299"/>
      <c r="C15" s="283" t="s">
        <v>227</v>
      </c>
      <c r="D15" s="283"/>
      <c r="E15" s="283"/>
      <c r="F15" s="283"/>
      <c r="G15" s="284"/>
      <c r="H15" s="285">
        <v>15450</v>
      </c>
      <c r="I15" s="286">
        <f>SUM(J15:L15)</f>
        <v>15450</v>
      </c>
      <c r="J15" s="283"/>
      <c r="K15" s="283">
        <v>10514</v>
      </c>
      <c r="L15" s="283">
        <v>4936</v>
      </c>
      <c r="M15" s="282"/>
      <c r="N15" s="282"/>
    </row>
    <row r="16" spans="1:12" ht="19.5" customHeight="1" thickBot="1">
      <c r="A16" s="300"/>
      <c r="B16" s="300"/>
      <c r="C16" s="301" t="s">
        <v>133</v>
      </c>
      <c r="D16" s="302">
        <f>SUM(E16:G16)</f>
        <v>546000</v>
      </c>
      <c r="E16" s="279"/>
      <c r="F16" s="279"/>
      <c r="G16" s="303">
        <v>546000</v>
      </c>
      <c r="H16" s="304"/>
      <c r="I16" s="305">
        <f>L16</f>
        <v>546000</v>
      </c>
      <c r="J16" s="302"/>
      <c r="K16" s="302"/>
      <c r="L16" s="302">
        <f>G16</f>
        <v>546000</v>
      </c>
    </row>
    <row r="17" ht="9" customHeight="1" thickTop="1"/>
    <row r="18" s="307" customFormat="1" ht="19.5" customHeight="1">
      <c r="C18" s="307" t="s">
        <v>221</v>
      </c>
    </row>
    <row r="19" s="307" customFormat="1" ht="19.5" customHeight="1">
      <c r="C19" s="308"/>
    </row>
    <row r="20" s="309" customFormat="1" ht="19.5" customHeight="1">
      <c r="C20" s="310"/>
    </row>
    <row r="21" s="309" customFormat="1" ht="12.75">
      <c r="C21" s="311"/>
    </row>
    <row r="22" spans="3:4" s="309" customFormat="1" ht="12.75">
      <c r="C22" s="311"/>
      <c r="D22" s="309" t="s">
        <v>236</v>
      </c>
    </row>
    <row r="23" spans="3:4" s="309" customFormat="1" ht="12.75">
      <c r="C23" s="311"/>
      <c r="D23" s="309" t="s">
        <v>237</v>
      </c>
    </row>
    <row r="24" spans="2:4" ht="12.75">
      <c r="B24" s="309"/>
      <c r="D24" t="s">
        <v>238</v>
      </c>
    </row>
    <row r="25" ht="12.75">
      <c r="B25" s="309"/>
    </row>
  </sheetData>
  <mergeCells count="1">
    <mergeCell ref="D6:D7"/>
  </mergeCells>
  <printOptions horizontalCentered="1"/>
  <pageMargins left="0.3937007874015748" right="0.3937007874015748" top="0.4330708661417323" bottom="0.3937007874015748" header="0.31496062992125984" footer="0.1968503937007874"/>
  <pageSetup firstPageNumber="7" useFirstPageNumber="1" horizontalDpi="300" verticalDpi="300" orientation="landscape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47.75390625" style="0" customWidth="1"/>
    <col min="4" max="6" width="19.375" style="0" customWidth="1"/>
    <col min="7" max="7" width="45.875" style="0" customWidth="1"/>
  </cols>
  <sheetData>
    <row r="1" ht="12.75">
      <c r="G1" s="65" t="s">
        <v>73</v>
      </c>
    </row>
    <row r="2" spans="1:7" ht="15.75">
      <c r="A2" s="2" t="s">
        <v>22</v>
      </c>
      <c r="G2" s="1" t="s">
        <v>229</v>
      </c>
    </row>
    <row r="3" spans="1:7" ht="17.25" customHeight="1">
      <c r="A3" s="2" t="s">
        <v>122</v>
      </c>
      <c r="B3" s="118"/>
      <c r="C3" s="118"/>
      <c r="D3" s="118"/>
      <c r="E3" s="118"/>
      <c r="F3" s="118"/>
      <c r="G3" s="1" t="s">
        <v>85</v>
      </c>
    </row>
    <row r="4" spans="1:7" ht="13.5" customHeight="1">
      <c r="A4" s="2"/>
      <c r="B4" s="118"/>
      <c r="C4" s="118"/>
      <c r="D4" s="118"/>
      <c r="E4" s="118"/>
      <c r="F4" s="118"/>
      <c r="G4" s="1" t="s">
        <v>224</v>
      </c>
    </row>
    <row r="5" ht="13.5" thickBot="1">
      <c r="G5" s="3" t="s">
        <v>23</v>
      </c>
    </row>
    <row r="6" spans="1:7" ht="81" customHeight="1" thickBot="1" thickTop="1">
      <c r="A6" s="5" t="s">
        <v>63</v>
      </c>
      <c r="B6" s="4" t="s">
        <v>89</v>
      </c>
      <c r="C6" s="4" t="s">
        <v>24</v>
      </c>
      <c r="D6" s="5" t="s">
        <v>123</v>
      </c>
      <c r="E6" s="201" t="s">
        <v>55</v>
      </c>
      <c r="F6" s="201" t="s">
        <v>25</v>
      </c>
      <c r="G6" s="201" t="s">
        <v>26</v>
      </c>
    </row>
    <row r="7" spans="1:7" ht="12" customHeight="1" thickBot="1" thickTop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24.75" customHeight="1" thickBot="1" thickTop="1">
      <c r="A8" s="202"/>
      <c r="B8" s="202"/>
      <c r="C8" s="203" t="s">
        <v>66</v>
      </c>
      <c r="D8" s="204">
        <v>28349690</v>
      </c>
      <c r="E8" s="204">
        <f>E9+E10+E14</f>
        <v>43200</v>
      </c>
      <c r="F8" s="204">
        <f>D8+E8</f>
        <v>28392890</v>
      </c>
      <c r="G8" s="205"/>
    </row>
    <row r="9" spans="1:7" ht="28.5" customHeight="1" thickBot="1">
      <c r="A9" s="12"/>
      <c r="B9" s="12"/>
      <c r="C9" s="206" t="s">
        <v>27</v>
      </c>
      <c r="D9" s="207">
        <v>25181186</v>
      </c>
      <c r="E9" s="207"/>
      <c r="F9" s="207">
        <f aca="true" t="shared" si="0" ref="F9:F14">D9+E9</f>
        <v>25181186</v>
      </c>
      <c r="G9" s="208"/>
    </row>
    <row r="10" spans="1:7" ht="34.5" customHeight="1" thickBot="1" thickTop="1">
      <c r="A10" s="228"/>
      <c r="B10" s="228"/>
      <c r="C10" s="230" t="s">
        <v>51</v>
      </c>
      <c r="D10" s="231">
        <v>899104</v>
      </c>
      <c r="E10" s="231">
        <f>E11</f>
        <v>43200</v>
      </c>
      <c r="F10" s="231">
        <f t="shared" si="0"/>
        <v>942304</v>
      </c>
      <c r="G10" s="232"/>
    </row>
    <row r="11" spans="1:7" ht="19.5" customHeight="1" thickTop="1">
      <c r="A11" s="34">
        <v>854</v>
      </c>
      <c r="B11" s="34"/>
      <c r="C11" s="18" t="s">
        <v>71</v>
      </c>
      <c r="D11" s="19">
        <v>82104</v>
      </c>
      <c r="E11" s="19">
        <f>E12</f>
        <v>43200</v>
      </c>
      <c r="F11" s="19">
        <f t="shared" si="0"/>
        <v>125304</v>
      </c>
      <c r="G11" s="18"/>
    </row>
    <row r="12" spans="1:7" ht="19.5" customHeight="1">
      <c r="A12" s="200"/>
      <c r="B12" s="14">
        <v>85415</v>
      </c>
      <c r="C12" s="30" t="s">
        <v>97</v>
      </c>
      <c r="D12" s="209">
        <v>82104</v>
      </c>
      <c r="E12" s="209">
        <f>E13</f>
        <v>43200</v>
      </c>
      <c r="F12" s="31">
        <f t="shared" si="0"/>
        <v>125304</v>
      </c>
      <c r="G12" s="28"/>
    </row>
    <row r="13" spans="1:7" ht="29.25" customHeight="1">
      <c r="A13" s="200"/>
      <c r="B13" s="210"/>
      <c r="C13" s="190" t="s">
        <v>139</v>
      </c>
      <c r="D13" s="163"/>
      <c r="E13" s="163">
        <v>43200</v>
      </c>
      <c r="F13" s="132">
        <f t="shared" si="0"/>
        <v>43200</v>
      </c>
      <c r="G13" s="214" t="s">
        <v>34</v>
      </c>
    </row>
    <row r="14" spans="1:7" ht="22.5" customHeight="1">
      <c r="A14" s="211"/>
      <c r="B14" s="211"/>
      <c r="C14" s="212" t="s">
        <v>131</v>
      </c>
      <c r="D14" s="213">
        <v>2269400</v>
      </c>
      <c r="E14" s="213"/>
      <c r="F14" s="213">
        <f t="shared" si="0"/>
        <v>2269400</v>
      </c>
      <c r="G14" s="211"/>
    </row>
    <row r="19" ht="12.75">
      <c r="C19" t="s">
        <v>236</v>
      </c>
    </row>
    <row r="20" ht="12.75">
      <c r="C20" t="s">
        <v>237</v>
      </c>
    </row>
    <row r="21" ht="12.75">
      <c r="C21" t="s">
        <v>238</v>
      </c>
    </row>
  </sheetData>
  <printOptions horizontalCentered="1"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landscape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75" workbookViewId="0" topLeftCell="A10">
      <selection activeCell="D13" sqref="D13"/>
    </sheetView>
  </sheetViews>
  <sheetFormatPr defaultColWidth="9.00390625" defaultRowHeight="12.75"/>
  <cols>
    <col min="1" max="1" width="5.375" style="1" customWidth="1"/>
    <col min="2" max="3" width="7.75390625" style="1" customWidth="1"/>
    <col min="4" max="4" width="66.125" style="1" customWidth="1"/>
    <col min="5" max="5" width="21.75390625" style="1" customWidth="1"/>
    <col min="6" max="7" width="14.625" style="1" hidden="1" customWidth="1"/>
    <col min="8" max="8" width="16.25390625" style="1" customWidth="1"/>
    <col min="9" max="9" width="20.25390625" style="1" customWidth="1"/>
    <col min="10" max="10" width="12.00390625" style="0" customWidth="1"/>
    <col min="11" max="11" width="11.125" style="0" customWidth="1"/>
    <col min="12" max="12" width="15.25390625" style="0" customWidth="1"/>
  </cols>
  <sheetData>
    <row r="1" spans="2:8" ht="15" customHeight="1">
      <c r="B1" s="44"/>
      <c r="C1" s="44"/>
      <c r="H1" s="1" t="s">
        <v>75</v>
      </c>
    </row>
    <row r="2" ht="15" customHeight="1">
      <c r="H2" s="1" t="s">
        <v>229</v>
      </c>
    </row>
    <row r="3" spans="4:8" ht="15" customHeight="1">
      <c r="D3" s="45" t="s">
        <v>116</v>
      </c>
      <c r="H3" s="1" t="s">
        <v>85</v>
      </c>
    </row>
    <row r="4" ht="15" customHeight="1">
      <c r="H4" s="1" t="s">
        <v>224</v>
      </c>
    </row>
    <row r="5" ht="15" customHeight="1" thickBot="1">
      <c r="I5" s="3" t="s">
        <v>87</v>
      </c>
    </row>
    <row r="6" spans="1:9" ht="69" customHeight="1" thickBot="1" thickTop="1">
      <c r="A6" s="4" t="s">
        <v>88</v>
      </c>
      <c r="B6" s="4" t="s">
        <v>89</v>
      </c>
      <c r="C6" s="5" t="s">
        <v>90</v>
      </c>
      <c r="D6" s="5" t="s">
        <v>31</v>
      </c>
      <c r="E6" s="238" t="s">
        <v>117</v>
      </c>
      <c r="F6" s="5" t="s">
        <v>91</v>
      </c>
      <c r="G6" s="5" t="s">
        <v>91</v>
      </c>
      <c r="H6" s="4" t="s">
        <v>55</v>
      </c>
      <c r="I6" s="5" t="s">
        <v>92</v>
      </c>
    </row>
    <row r="7" spans="1:9" ht="13.5" customHeight="1" thickBot="1" thickTop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6</v>
      </c>
      <c r="H7" s="46">
        <v>6</v>
      </c>
      <c r="I7" s="46">
        <v>7</v>
      </c>
    </row>
    <row r="8" spans="1:10" ht="21.75" customHeight="1" thickBot="1" thickTop="1">
      <c r="A8" s="47"/>
      <c r="B8" s="47"/>
      <c r="C8" s="47"/>
      <c r="D8" s="48" t="s">
        <v>56</v>
      </c>
      <c r="E8" s="49">
        <v>778926841</v>
      </c>
      <c r="F8" s="49"/>
      <c r="G8" s="49"/>
      <c r="H8" s="49">
        <f>H10+H20</f>
        <v>1347288</v>
      </c>
      <c r="I8" s="49">
        <f>E8+H8</f>
        <v>780274129</v>
      </c>
      <c r="J8" s="60"/>
    </row>
    <row r="9" spans="1:9" ht="13.5" customHeight="1" thickTop="1">
      <c r="A9" s="12"/>
      <c r="B9" s="12"/>
      <c r="C9" s="12"/>
      <c r="D9" s="12" t="s">
        <v>94</v>
      </c>
      <c r="E9" s="50"/>
      <c r="F9" s="50"/>
      <c r="G9" s="50"/>
      <c r="H9" s="50"/>
      <c r="I9" s="50"/>
    </row>
    <row r="10" spans="1:9" ht="18" customHeight="1" thickBot="1">
      <c r="A10" s="12"/>
      <c r="B10" s="12"/>
      <c r="C10" s="12"/>
      <c r="D10" s="51" t="s">
        <v>57</v>
      </c>
      <c r="E10" s="52">
        <v>547306368</v>
      </c>
      <c r="F10" s="52"/>
      <c r="G10" s="52"/>
      <c r="H10" s="52">
        <f>H13</f>
        <v>525478</v>
      </c>
      <c r="I10" s="52">
        <f aca="true" t="shared" si="0" ref="I10:I32">E10+H10</f>
        <v>547831846</v>
      </c>
    </row>
    <row r="11" spans="1:9" ht="21" customHeight="1" thickBot="1">
      <c r="A11" s="8"/>
      <c r="B11" s="8"/>
      <c r="C11" s="8"/>
      <c r="D11" s="39" t="s">
        <v>58</v>
      </c>
      <c r="E11" s="37">
        <v>375445074</v>
      </c>
      <c r="F11" s="40"/>
      <c r="G11" s="40"/>
      <c r="H11" s="40"/>
      <c r="I11" s="40">
        <f t="shared" si="0"/>
        <v>375445074</v>
      </c>
    </row>
    <row r="12" spans="1:9" ht="21" customHeight="1" thickBot="1" thickTop="1">
      <c r="A12" s="8"/>
      <c r="B12" s="8"/>
      <c r="C12" s="8"/>
      <c r="D12" s="36" t="s">
        <v>118</v>
      </c>
      <c r="E12" s="37">
        <v>101484534</v>
      </c>
      <c r="F12" s="37"/>
      <c r="G12" s="37"/>
      <c r="H12" s="37"/>
      <c r="I12" s="37">
        <f t="shared" si="0"/>
        <v>101484534</v>
      </c>
    </row>
    <row r="13" spans="1:9" ht="21" customHeight="1" thickBot="1" thickTop="1">
      <c r="A13" s="8"/>
      <c r="B13" s="8"/>
      <c r="C13" s="14"/>
      <c r="D13" s="36" t="s">
        <v>60</v>
      </c>
      <c r="E13" s="37">
        <v>10889371</v>
      </c>
      <c r="F13" s="37"/>
      <c r="G13" s="37"/>
      <c r="H13" s="37">
        <f>H14</f>
        <v>525478</v>
      </c>
      <c r="I13" s="37">
        <f t="shared" si="0"/>
        <v>11414849</v>
      </c>
    </row>
    <row r="14" spans="1:9" ht="18.75" customHeight="1" thickTop="1">
      <c r="A14" s="34">
        <v>854</v>
      </c>
      <c r="B14" s="34"/>
      <c r="C14" s="18"/>
      <c r="D14" s="18" t="s">
        <v>71</v>
      </c>
      <c r="E14" s="19">
        <v>1215212</v>
      </c>
      <c r="F14" s="115"/>
      <c r="G14" s="115"/>
      <c r="H14" s="19">
        <f>H15</f>
        <v>525478</v>
      </c>
      <c r="I14" s="19">
        <f>E14+H14</f>
        <v>1740690</v>
      </c>
    </row>
    <row r="15" spans="1:9" ht="18" customHeight="1">
      <c r="A15" s="8"/>
      <c r="B15" s="28">
        <v>85415</v>
      </c>
      <c r="C15" s="43"/>
      <c r="D15" s="43" t="s">
        <v>97</v>
      </c>
      <c r="E15" s="54">
        <v>1215212</v>
      </c>
      <c r="F15" s="116"/>
      <c r="G15" s="116"/>
      <c r="H15" s="54">
        <f>H16</f>
        <v>525478</v>
      </c>
      <c r="I15" s="54">
        <f>E15+H15</f>
        <v>1740690</v>
      </c>
    </row>
    <row r="16" spans="1:9" ht="28.5" customHeight="1">
      <c r="A16" s="12"/>
      <c r="B16" s="20"/>
      <c r="C16" s="157"/>
      <c r="D16" s="312" t="s">
        <v>161</v>
      </c>
      <c r="E16" s="33">
        <v>1215212</v>
      </c>
      <c r="F16" s="117"/>
      <c r="G16" s="117"/>
      <c r="H16" s="33">
        <f>SUM(H17:H18)</f>
        <v>525478</v>
      </c>
      <c r="I16" s="33">
        <f>E16+H16</f>
        <v>1740690</v>
      </c>
    </row>
    <row r="17" spans="1:9" ht="29.25" customHeight="1">
      <c r="A17" s="24"/>
      <c r="B17" s="24"/>
      <c r="C17" s="315">
        <v>2030</v>
      </c>
      <c r="D17" s="316" t="s">
        <v>162</v>
      </c>
      <c r="E17" s="35">
        <v>1215212</v>
      </c>
      <c r="F17" s="35"/>
      <c r="G17" s="35"/>
      <c r="H17" s="35">
        <v>525478</v>
      </c>
      <c r="I17" s="35">
        <f>E17+H17</f>
        <v>1740690</v>
      </c>
    </row>
    <row r="18" spans="1:9" ht="19.5" customHeight="1" thickBot="1">
      <c r="A18" s="8"/>
      <c r="B18" s="8"/>
      <c r="C18" s="8"/>
      <c r="D18" s="36" t="s">
        <v>132</v>
      </c>
      <c r="E18" s="199">
        <v>539300</v>
      </c>
      <c r="F18" s="37"/>
      <c r="G18" s="37"/>
      <c r="H18" s="37"/>
      <c r="I18" s="199">
        <f t="shared" si="0"/>
        <v>539300</v>
      </c>
    </row>
    <row r="19" spans="1:9" ht="27" customHeight="1" thickBot="1" thickTop="1">
      <c r="A19" s="8"/>
      <c r="B19" s="8"/>
      <c r="C19" s="8"/>
      <c r="D19" s="215" t="s">
        <v>61</v>
      </c>
      <c r="E19" s="37">
        <v>58948089</v>
      </c>
      <c r="F19" s="199"/>
      <c r="G19" s="199"/>
      <c r="H19" s="199"/>
      <c r="I19" s="199">
        <f t="shared" si="0"/>
        <v>58948089</v>
      </c>
    </row>
    <row r="20" spans="1:9" ht="19.5" customHeight="1" thickBot="1" thickTop="1">
      <c r="A20" s="12"/>
      <c r="B20" s="12"/>
      <c r="C20" s="12"/>
      <c r="D20" s="51" t="s">
        <v>62</v>
      </c>
      <c r="E20" s="52">
        <v>231620473</v>
      </c>
      <c r="F20" s="52"/>
      <c r="G20" s="52"/>
      <c r="H20" s="52">
        <f>H21+H22+H23+H24+H32</f>
        <v>821810</v>
      </c>
      <c r="I20" s="52">
        <f t="shared" si="0"/>
        <v>232442283</v>
      </c>
    </row>
    <row r="21" spans="1:9" ht="18" customHeight="1" thickBot="1">
      <c r="A21" s="8"/>
      <c r="B21" s="8"/>
      <c r="C21" s="8"/>
      <c r="D21" s="131" t="s">
        <v>58</v>
      </c>
      <c r="E21" s="40">
        <v>63095330</v>
      </c>
      <c r="F21" s="40"/>
      <c r="G21" s="40"/>
      <c r="H21" s="40"/>
      <c r="I21" s="40">
        <f t="shared" si="0"/>
        <v>63095330</v>
      </c>
    </row>
    <row r="22" spans="1:9" ht="18" customHeight="1" thickBot="1" thickTop="1">
      <c r="A22" s="8"/>
      <c r="B22" s="8"/>
      <c r="C22" s="8"/>
      <c r="D22" s="216" t="s">
        <v>59</v>
      </c>
      <c r="E22" s="217">
        <v>133273225</v>
      </c>
      <c r="F22" s="217"/>
      <c r="G22" s="217"/>
      <c r="H22" s="217"/>
      <c r="I22" s="217">
        <f t="shared" si="0"/>
        <v>133273225</v>
      </c>
    </row>
    <row r="23" spans="1:9" ht="18.75" customHeight="1" thickBot="1" thickTop="1">
      <c r="A23" s="8"/>
      <c r="B23" s="8"/>
      <c r="C23" s="8"/>
      <c r="D23" s="36" t="s">
        <v>60</v>
      </c>
      <c r="E23" s="64">
        <v>9178001</v>
      </c>
      <c r="F23" s="64"/>
      <c r="G23" s="64"/>
      <c r="H23" s="64"/>
      <c r="I23" s="64">
        <f t="shared" si="0"/>
        <v>9178001</v>
      </c>
    </row>
    <row r="24" spans="1:9" ht="18.75" customHeight="1" thickBot="1" thickTop="1">
      <c r="A24" s="8"/>
      <c r="B24" s="8"/>
      <c r="C24" s="14"/>
      <c r="D24" s="36" t="s">
        <v>132</v>
      </c>
      <c r="E24" s="64">
        <v>4638613</v>
      </c>
      <c r="F24" s="64"/>
      <c r="G24" s="64"/>
      <c r="H24" s="64">
        <f>H25</f>
        <v>821810</v>
      </c>
      <c r="I24" s="64">
        <f t="shared" si="0"/>
        <v>5460423</v>
      </c>
    </row>
    <row r="25" spans="1:9" ht="18.75" customHeight="1" thickTop="1">
      <c r="A25" s="34">
        <v>854</v>
      </c>
      <c r="B25" s="34"/>
      <c r="C25" s="18"/>
      <c r="D25" s="18" t="s">
        <v>71</v>
      </c>
      <c r="E25" s="19">
        <v>1686113</v>
      </c>
      <c r="F25" s="115"/>
      <c r="G25" s="115"/>
      <c r="H25" s="19">
        <f>H26</f>
        <v>821810</v>
      </c>
      <c r="I25" s="19">
        <f t="shared" si="0"/>
        <v>2507923</v>
      </c>
    </row>
    <row r="26" spans="1:9" ht="18" customHeight="1">
      <c r="A26" s="8"/>
      <c r="B26" s="28">
        <v>85415</v>
      </c>
      <c r="C26" s="43"/>
      <c r="D26" s="43" t="s">
        <v>97</v>
      </c>
      <c r="E26" s="54">
        <v>1686113</v>
      </c>
      <c r="F26" s="116"/>
      <c r="G26" s="116"/>
      <c r="H26" s="54">
        <f>H27</f>
        <v>821810</v>
      </c>
      <c r="I26" s="54">
        <f t="shared" si="0"/>
        <v>2507923</v>
      </c>
    </row>
    <row r="27" spans="1:9" ht="38.25" customHeight="1">
      <c r="A27" s="12"/>
      <c r="B27" s="20"/>
      <c r="C27" s="189"/>
      <c r="D27" s="32" t="s">
        <v>138</v>
      </c>
      <c r="E27" s="33"/>
      <c r="F27" s="117"/>
      <c r="G27" s="117"/>
      <c r="H27" s="33">
        <f>SUM(H28:H31)</f>
        <v>821810</v>
      </c>
      <c r="I27" s="33">
        <f t="shared" si="0"/>
        <v>821810</v>
      </c>
    </row>
    <row r="28" spans="1:9" ht="39" customHeight="1">
      <c r="A28" s="21"/>
      <c r="B28" s="21"/>
      <c r="C28" s="21">
        <v>2888</v>
      </c>
      <c r="D28" s="22" t="s">
        <v>234</v>
      </c>
      <c r="E28" s="35"/>
      <c r="F28" s="35"/>
      <c r="G28" s="35"/>
      <c r="H28" s="35">
        <f>559242-10514</f>
        <v>548728</v>
      </c>
      <c r="I28" s="35">
        <f t="shared" si="0"/>
        <v>548728</v>
      </c>
    </row>
    <row r="29" spans="1:9" ht="39.75" customHeight="1">
      <c r="A29" s="24"/>
      <c r="B29" s="24"/>
      <c r="C29" s="21">
        <v>2889</v>
      </c>
      <c r="D29" s="22" t="s">
        <v>234</v>
      </c>
      <c r="E29" s="29"/>
      <c r="F29" s="29"/>
      <c r="G29" s="29"/>
      <c r="H29" s="29">
        <f>262568-4936</f>
        <v>257632</v>
      </c>
      <c r="I29" s="29">
        <f t="shared" si="0"/>
        <v>257632</v>
      </c>
    </row>
    <row r="30" spans="1:9" ht="39.75" customHeight="1">
      <c r="A30" s="24"/>
      <c r="B30" s="24"/>
      <c r="C30" s="21">
        <v>6648</v>
      </c>
      <c r="D30" s="22" t="s">
        <v>235</v>
      </c>
      <c r="E30" s="29"/>
      <c r="F30" s="29"/>
      <c r="G30" s="29"/>
      <c r="H30" s="29">
        <v>10514</v>
      </c>
      <c r="I30" s="29">
        <f>E30+H30</f>
        <v>10514</v>
      </c>
    </row>
    <row r="31" spans="1:9" ht="39.75" customHeight="1">
      <c r="A31" s="24"/>
      <c r="B31" s="24"/>
      <c r="C31" s="21">
        <v>6649</v>
      </c>
      <c r="D31" s="22" t="s">
        <v>235</v>
      </c>
      <c r="E31" s="29"/>
      <c r="F31" s="29"/>
      <c r="G31" s="29"/>
      <c r="H31" s="29">
        <v>4936</v>
      </c>
      <c r="I31" s="29">
        <f>E31+H31</f>
        <v>4936</v>
      </c>
    </row>
    <row r="32" spans="1:9" ht="25.5" customHeight="1">
      <c r="A32" s="14"/>
      <c r="B32" s="14"/>
      <c r="C32" s="28"/>
      <c r="D32" s="165" t="s">
        <v>77</v>
      </c>
      <c r="E32" s="225">
        <v>21435304</v>
      </c>
      <c r="F32" s="225"/>
      <c r="G32" s="225"/>
      <c r="H32" s="225"/>
      <c r="I32" s="225">
        <f t="shared" si="0"/>
        <v>21435304</v>
      </c>
    </row>
    <row r="37" ht="12.75">
      <c r="B37" s="1" t="s">
        <v>236</v>
      </c>
    </row>
    <row r="38" ht="12.75">
      <c r="B38" s="1" t="s">
        <v>237</v>
      </c>
    </row>
    <row r="39" ht="12.75">
      <c r="B39" s="1" t="s">
        <v>238</v>
      </c>
    </row>
  </sheetData>
  <printOptions horizontalCentered="1"/>
  <pageMargins left="0.5905511811023623" right="0.5905511811023623" top="0.5905511811023623" bottom="0.4724409448818898" header="0.5118110236220472" footer="0.31496062992125984"/>
  <pageSetup firstPageNumber="9" useFirstPageNumber="1" horizontalDpi="300" verticalDpi="3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75" workbookViewId="0" topLeftCell="A4">
      <selection activeCell="D8" sqref="D8"/>
    </sheetView>
  </sheetViews>
  <sheetFormatPr defaultColWidth="9.00390625" defaultRowHeight="12.75"/>
  <cols>
    <col min="1" max="1" width="7.25390625" style="1" customWidth="1"/>
    <col min="2" max="2" width="7.75390625" style="1" customWidth="1"/>
    <col min="3" max="3" width="7.625" style="1" customWidth="1"/>
    <col min="4" max="4" width="55.875" style="1" customWidth="1"/>
    <col min="5" max="5" width="23.125" style="1" customWidth="1"/>
    <col min="6" max="6" width="14.625" style="1" hidden="1" customWidth="1"/>
    <col min="7" max="7" width="21.875" style="1" customWidth="1"/>
    <col min="8" max="8" width="22.625" style="1" customWidth="1"/>
    <col min="9" max="9" width="12.375" style="0" customWidth="1"/>
    <col min="10" max="10" width="10.375" style="0" bestFit="1" customWidth="1"/>
    <col min="11" max="11" width="11.00390625" style="0" customWidth="1"/>
  </cols>
  <sheetData>
    <row r="1" ht="16.5" customHeight="1">
      <c r="G1" s="1" t="s">
        <v>225</v>
      </c>
    </row>
    <row r="2" ht="16.5" customHeight="1">
      <c r="G2" s="1" t="s">
        <v>229</v>
      </c>
    </row>
    <row r="3" ht="16.5" customHeight="1">
      <c r="G3" s="1" t="s">
        <v>85</v>
      </c>
    </row>
    <row r="4" spans="4:7" ht="16.5" customHeight="1">
      <c r="D4" s="2" t="s">
        <v>119</v>
      </c>
      <c r="G4" s="1" t="s">
        <v>224</v>
      </c>
    </row>
    <row r="5" ht="16.5" customHeight="1" thickBot="1">
      <c r="H5" s="3" t="s">
        <v>87</v>
      </c>
    </row>
    <row r="6" spans="1:8" ht="68.25" customHeight="1" thickBot="1" thickTop="1">
      <c r="A6" s="4" t="s">
        <v>88</v>
      </c>
      <c r="B6" s="4" t="s">
        <v>89</v>
      </c>
      <c r="C6" s="5" t="s">
        <v>90</v>
      </c>
      <c r="D6" s="5" t="s">
        <v>134</v>
      </c>
      <c r="E6" s="5" t="s">
        <v>120</v>
      </c>
      <c r="F6" s="5" t="s">
        <v>164</v>
      </c>
      <c r="G6" s="5" t="s">
        <v>55</v>
      </c>
      <c r="H6" s="5" t="s">
        <v>92</v>
      </c>
    </row>
    <row r="7" spans="1:8" ht="16.5" customHeight="1" thickBot="1" thickTop="1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7">
        <v>6</v>
      </c>
      <c r="H7" s="7">
        <v>7</v>
      </c>
    </row>
    <row r="8" spans="1:9" ht="19.5" customHeight="1" thickBot="1" thickTop="1">
      <c r="A8" s="8"/>
      <c r="B8" s="9"/>
      <c r="C8" s="9"/>
      <c r="D8" s="10" t="s">
        <v>93</v>
      </c>
      <c r="E8" s="11">
        <v>793352293</v>
      </c>
      <c r="F8" s="11"/>
      <c r="G8" s="11">
        <f>G10+G15+G39</f>
        <v>1347288</v>
      </c>
      <c r="H8" s="11">
        <f>E8+G8-F8</f>
        <v>794699581</v>
      </c>
      <c r="I8" s="60">
        <f>G8-F8</f>
        <v>1347288</v>
      </c>
    </row>
    <row r="9" spans="1:9" ht="15" customHeight="1">
      <c r="A9" s="12"/>
      <c r="B9" s="12"/>
      <c r="C9" s="12"/>
      <c r="D9" s="12" t="s">
        <v>94</v>
      </c>
      <c r="E9" s="13"/>
      <c r="F9" s="13"/>
      <c r="G9" s="13"/>
      <c r="H9" s="13"/>
      <c r="I9" s="60"/>
    </row>
    <row r="10" spans="1:8" ht="21" customHeight="1" thickBot="1">
      <c r="A10" s="8"/>
      <c r="B10" s="8"/>
      <c r="C10" s="8"/>
      <c r="D10" s="15" t="s">
        <v>95</v>
      </c>
      <c r="E10" s="16">
        <v>707680987</v>
      </c>
      <c r="F10" s="16"/>
      <c r="G10" s="16">
        <f>G11</f>
        <v>525478</v>
      </c>
      <c r="H10" s="16">
        <f>E10+G10-F10</f>
        <v>708206465</v>
      </c>
    </row>
    <row r="11" spans="1:9" ht="19.5" customHeight="1" thickTop="1">
      <c r="A11" s="151">
        <v>854</v>
      </c>
      <c r="B11" s="66"/>
      <c r="C11" s="66"/>
      <c r="D11" s="18" t="s">
        <v>71</v>
      </c>
      <c r="E11" s="143">
        <v>38913364</v>
      </c>
      <c r="F11" s="143"/>
      <c r="G11" s="143">
        <f>G12</f>
        <v>525478</v>
      </c>
      <c r="H11" s="67">
        <f aca="true" t="shared" si="0" ref="H11:H20">E11+G11</f>
        <v>39438842</v>
      </c>
      <c r="I11" s="220"/>
    </row>
    <row r="12" spans="1:9" ht="19.5" customHeight="1">
      <c r="A12" s="55"/>
      <c r="B12" s="53">
        <v>85415</v>
      </c>
      <c r="C12" s="156"/>
      <c r="D12" s="43" t="s">
        <v>97</v>
      </c>
      <c r="E12" s="158">
        <v>1814804</v>
      </c>
      <c r="F12" s="158"/>
      <c r="G12" s="158">
        <f>G13</f>
        <v>525478</v>
      </c>
      <c r="H12" s="161">
        <f t="shared" si="0"/>
        <v>2340282</v>
      </c>
      <c r="I12" s="220"/>
    </row>
    <row r="13" spans="1:9" ht="26.25" customHeight="1">
      <c r="A13" s="136"/>
      <c r="B13" s="155"/>
      <c r="C13" s="270"/>
      <c r="D13" s="317" t="s">
        <v>163</v>
      </c>
      <c r="E13" s="159">
        <v>1215212</v>
      </c>
      <c r="F13" s="159"/>
      <c r="G13" s="159">
        <f>G14</f>
        <v>525478</v>
      </c>
      <c r="H13" s="162">
        <f t="shared" si="0"/>
        <v>1740690</v>
      </c>
      <c r="I13" s="221"/>
    </row>
    <row r="14" spans="1:8" ht="21" customHeight="1">
      <c r="A14" s="8"/>
      <c r="B14" s="8"/>
      <c r="C14" s="319">
        <v>3240</v>
      </c>
      <c r="D14" s="319" t="s">
        <v>121</v>
      </c>
      <c r="E14" s="320">
        <v>1215212</v>
      </c>
      <c r="F14" s="97"/>
      <c r="G14" s="320">
        <v>525478</v>
      </c>
      <c r="H14" s="320">
        <f t="shared" si="0"/>
        <v>1740690</v>
      </c>
    </row>
    <row r="15" spans="1:8" ht="29.25" customHeight="1" thickBot="1">
      <c r="A15" s="12"/>
      <c r="B15" s="12"/>
      <c r="C15" s="12"/>
      <c r="D15" s="36" t="s">
        <v>114</v>
      </c>
      <c r="E15" s="64">
        <v>5287913</v>
      </c>
      <c r="F15" s="64"/>
      <c r="G15" s="64">
        <f>G16</f>
        <v>821810</v>
      </c>
      <c r="H15" s="64">
        <f t="shared" si="0"/>
        <v>6109723</v>
      </c>
    </row>
    <row r="16" spans="1:9" ht="19.5" customHeight="1" thickTop="1">
      <c r="A16" s="151">
        <v>854</v>
      </c>
      <c r="B16" s="66"/>
      <c r="C16" s="66"/>
      <c r="D16" s="18" t="s">
        <v>71</v>
      </c>
      <c r="E16" s="143">
        <v>1686113</v>
      </c>
      <c r="F16" s="143"/>
      <c r="G16" s="143">
        <f>G17</f>
        <v>821810</v>
      </c>
      <c r="H16" s="67">
        <f t="shared" si="0"/>
        <v>2507923</v>
      </c>
      <c r="I16" s="220"/>
    </row>
    <row r="17" spans="1:9" ht="19.5" customHeight="1">
      <c r="A17" s="55"/>
      <c r="B17" s="53">
        <v>85415</v>
      </c>
      <c r="C17" s="156"/>
      <c r="D17" s="43" t="s">
        <v>97</v>
      </c>
      <c r="E17" s="158">
        <v>1686113</v>
      </c>
      <c r="F17" s="158"/>
      <c r="G17" s="158">
        <f>G18</f>
        <v>821810</v>
      </c>
      <c r="H17" s="161">
        <f t="shared" si="0"/>
        <v>2507923</v>
      </c>
      <c r="I17" s="220"/>
    </row>
    <row r="18" spans="1:9" ht="29.25" customHeight="1">
      <c r="A18" s="136"/>
      <c r="B18" s="155"/>
      <c r="C18" s="157"/>
      <c r="D18" s="32" t="s">
        <v>139</v>
      </c>
      <c r="E18" s="159"/>
      <c r="F18" s="159"/>
      <c r="G18" s="159">
        <f>SUM(G19:G38)</f>
        <v>821810</v>
      </c>
      <c r="H18" s="162">
        <f t="shared" si="0"/>
        <v>821810</v>
      </c>
      <c r="I18" s="221"/>
    </row>
    <row r="19" spans="1:10" ht="18.75" customHeight="1">
      <c r="A19" s="12"/>
      <c r="B19" s="12"/>
      <c r="C19" s="21">
        <v>4118</v>
      </c>
      <c r="D19" s="21" t="s">
        <v>140</v>
      </c>
      <c r="E19" s="23"/>
      <c r="F19" s="23"/>
      <c r="G19" s="23">
        <v>1892</v>
      </c>
      <c r="H19" s="23">
        <f t="shared" si="0"/>
        <v>1892</v>
      </c>
      <c r="I19">
        <v>8</v>
      </c>
      <c r="J19" s="60">
        <f>G19+G21+G23+G25+G27+G29+G31+G33+G35+G37</f>
        <v>559242</v>
      </c>
    </row>
    <row r="20" spans="1:10" ht="18.75" customHeight="1">
      <c r="A20" s="12"/>
      <c r="B20" s="12"/>
      <c r="C20" s="21">
        <v>4119</v>
      </c>
      <c r="D20" s="21" t="s">
        <v>140</v>
      </c>
      <c r="E20" s="23"/>
      <c r="F20" s="23"/>
      <c r="G20" s="23">
        <v>888</v>
      </c>
      <c r="H20" s="23">
        <f t="shared" si="0"/>
        <v>888</v>
      </c>
      <c r="I20">
        <v>9</v>
      </c>
      <c r="J20" s="60">
        <f>G20+G22+G24+G26+G28+G30+G32+G34+G36+G38</f>
        <v>262568</v>
      </c>
    </row>
    <row r="21" spans="1:10" ht="18.75" customHeight="1">
      <c r="A21" s="12"/>
      <c r="B21" s="12"/>
      <c r="C21" s="21">
        <v>4128</v>
      </c>
      <c r="D21" s="21" t="s">
        <v>141</v>
      </c>
      <c r="E21" s="23"/>
      <c r="F21" s="23"/>
      <c r="G21" s="23">
        <v>248</v>
      </c>
      <c r="H21" s="23">
        <f aca="true" t="shared" si="1" ref="H21:H32">E21+G21</f>
        <v>248</v>
      </c>
      <c r="J21" s="60">
        <f>J19+J20</f>
        <v>821810</v>
      </c>
    </row>
    <row r="22" spans="1:11" ht="18.75" customHeight="1">
      <c r="A22" s="12"/>
      <c r="B22" s="12"/>
      <c r="C22" s="21">
        <v>4129</v>
      </c>
      <c r="D22" s="21" t="s">
        <v>141</v>
      </c>
      <c r="E22" s="23"/>
      <c r="F22" s="23"/>
      <c r="G22" s="23">
        <v>116</v>
      </c>
      <c r="H22" s="23">
        <f t="shared" si="1"/>
        <v>116</v>
      </c>
      <c r="I22">
        <v>8</v>
      </c>
      <c r="J22" s="60">
        <f>G33+G35</f>
        <v>29398</v>
      </c>
      <c r="K22" s="60">
        <f>J22+J23</f>
        <v>43200</v>
      </c>
    </row>
    <row r="23" spans="1:10" ht="18.75" customHeight="1">
      <c r="A23" s="12"/>
      <c r="B23" s="12"/>
      <c r="C23" s="21">
        <v>4178</v>
      </c>
      <c r="D23" s="21" t="s">
        <v>142</v>
      </c>
      <c r="E23" s="23"/>
      <c r="F23" s="23"/>
      <c r="G23" s="23">
        <v>10109</v>
      </c>
      <c r="H23" s="23">
        <f t="shared" si="1"/>
        <v>10109</v>
      </c>
      <c r="I23">
        <v>9</v>
      </c>
      <c r="J23" s="60">
        <f>G34+G36</f>
        <v>13802</v>
      </c>
    </row>
    <row r="24" spans="1:10" ht="18.75" customHeight="1">
      <c r="A24" s="12"/>
      <c r="B24" s="12"/>
      <c r="C24" s="21">
        <v>4179</v>
      </c>
      <c r="D24" s="21" t="s">
        <v>142</v>
      </c>
      <c r="E24" s="23"/>
      <c r="F24" s="23"/>
      <c r="G24" s="23">
        <v>4747</v>
      </c>
      <c r="H24" s="23">
        <f t="shared" si="1"/>
        <v>4747</v>
      </c>
      <c r="I24">
        <v>8</v>
      </c>
      <c r="J24" s="60">
        <f>G19+G21+G23+G25+G27+G29+G31</f>
        <v>43967</v>
      </c>
    </row>
    <row r="25" spans="1:10" ht="18.75" customHeight="1">
      <c r="A25" s="12"/>
      <c r="B25" s="12"/>
      <c r="C25" s="21">
        <v>4218</v>
      </c>
      <c r="D25" s="21" t="s">
        <v>96</v>
      </c>
      <c r="E25" s="23"/>
      <c r="F25" s="23"/>
      <c r="G25" s="23">
        <v>20115</v>
      </c>
      <c r="H25" s="23">
        <f t="shared" si="1"/>
        <v>20115</v>
      </c>
      <c r="I25">
        <v>9</v>
      </c>
      <c r="J25" s="60">
        <f>G20+G22+G24+G26+G28+G30+G32</f>
        <v>20643</v>
      </c>
    </row>
    <row r="26" spans="1:8" ht="18.75" customHeight="1">
      <c r="A26" s="12"/>
      <c r="B26" s="12"/>
      <c r="C26" s="21">
        <v>4219</v>
      </c>
      <c r="D26" s="21" t="s">
        <v>96</v>
      </c>
      <c r="E26" s="23"/>
      <c r="F26" s="23"/>
      <c r="G26" s="23">
        <v>9445</v>
      </c>
      <c r="H26" s="23">
        <f t="shared" si="1"/>
        <v>9445</v>
      </c>
    </row>
    <row r="27" spans="1:8" ht="18.75" customHeight="1">
      <c r="A27" s="26"/>
      <c r="B27" s="26"/>
      <c r="C27" s="21">
        <v>4308</v>
      </c>
      <c r="D27" s="21" t="s">
        <v>144</v>
      </c>
      <c r="E27" s="23"/>
      <c r="F27" s="23"/>
      <c r="G27" s="23">
        <v>817</v>
      </c>
      <c r="H27" s="23">
        <f t="shared" si="1"/>
        <v>817</v>
      </c>
    </row>
    <row r="28" spans="1:8" ht="18.75" customHeight="1">
      <c r="A28" s="12"/>
      <c r="B28" s="12"/>
      <c r="C28" s="21">
        <v>4309</v>
      </c>
      <c r="D28" s="21" t="s">
        <v>144</v>
      </c>
      <c r="E28" s="23"/>
      <c r="F28" s="23"/>
      <c r="G28" s="23">
        <v>383</v>
      </c>
      <c r="H28" s="23">
        <f t="shared" si="1"/>
        <v>383</v>
      </c>
    </row>
    <row r="29" spans="1:8" ht="18.75" customHeight="1">
      <c r="A29" s="12"/>
      <c r="B29" s="12"/>
      <c r="C29" s="21">
        <v>4438</v>
      </c>
      <c r="D29" s="21" t="s">
        <v>143</v>
      </c>
      <c r="E29" s="23"/>
      <c r="F29" s="23"/>
      <c r="G29" s="23">
        <v>272</v>
      </c>
      <c r="H29" s="23">
        <f t="shared" si="1"/>
        <v>272</v>
      </c>
    </row>
    <row r="30" spans="1:8" ht="18.75" customHeight="1">
      <c r="A30" s="12"/>
      <c r="B30" s="12"/>
      <c r="C30" s="21">
        <v>4439</v>
      </c>
      <c r="D30" s="21" t="s">
        <v>143</v>
      </c>
      <c r="E30" s="23"/>
      <c r="F30" s="23"/>
      <c r="G30" s="23">
        <v>128</v>
      </c>
      <c r="H30" s="23">
        <f t="shared" si="1"/>
        <v>128</v>
      </c>
    </row>
    <row r="31" spans="1:8" ht="18.75" customHeight="1">
      <c r="A31" s="12"/>
      <c r="B31" s="12"/>
      <c r="C31" s="21">
        <v>6068</v>
      </c>
      <c r="D31" s="21" t="s">
        <v>228</v>
      </c>
      <c r="E31" s="23"/>
      <c r="F31" s="23"/>
      <c r="G31" s="23">
        <v>10514</v>
      </c>
      <c r="H31" s="23">
        <f t="shared" si="1"/>
        <v>10514</v>
      </c>
    </row>
    <row r="32" spans="1:8" ht="18.75" customHeight="1">
      <c r="A32" s="12"/>
      <c r="B32" s="12"/>
      <c r="C32" s="21">
        <v>6069</v>
      </c>
      <c r="D32" s="21" t="s">
        <v>228</v>
      </c>
      <c r="E32" s="23"/>
      <c r="F32" s="23"/>
      <c r="G32" s="23">
        <v>4936</v>
      </c>
      <c r="H32" s="23">
        <f t="shared" si="1"/>
        <v>4936</v>
      </c>
    </row>
    <row r="33" spans="1:8" ht="27" customHeight="1">
      <c r="A33" s="12"/>
      <c r="B33" s="12"/>
      <c r="C33" s="226">
        <v>2548</v>
      </c>
      <c r="D33" s="22" t="s">
        <v>20</v>
      </c>
      <c r="E33" s="227"/>
      <c r="F33" s="227"/>
      <c r="G33" s="227">
        <v>6615</v>
      </c>
      <c r="H33" s="23">
        <f aca="true" t="shared" si="2" ref="H33:H39">E33+G33</f>
        <v>6615</v>
      </c>
    </row>
    <row r="34" spans="1:8" ht="26.25" customHeight="1">
      <c r="A34" s="12"/>
      <c r="B34" s="12"/>
      <c r="C34" s="226">
        <v>2549</v>
      </c>
      <c r="D34" s="22" t="s">
        <v>20</v>
      </c>
      <c r="E34" s="227"/>
      <c r="F34" s="227"/>
      <c r="G34" s="227">
        <v>3105</v>
      </c>
      <c r="H34" s="23">
        <f t="shared" si="2"/>
        <v>3105</v>
      </c>
    </row>
    <row r="35" spans="1:8" ht="39.75" customHeight="1">
      <c r="A35" s="12"/>
      <c r="B35" s="12"/>
      <c r="C35" s="226">
        <v>2598</v>
      </c>
      <c r="D35" s="22" t="s">
        <v>21</v>
      </c>
      <c r="E35" s="227"/>
      <c r="F35" s="227"/>
      <c r="G35" s="227">
        <v>22783</v>
      </c>
      <c r="H35" s="23">
        <f t="shared" si="2"/>
        <v>22783</v>
      </c>
    </row>
    <row r="36" spans="1:8" ht="39" customHeight="1">
      <c r="A36" s="12"/>
      <c r="B36" s="12"/>
      <c r="C36" s="226">
        <v>2599</v>
      </c>
      <c r="D36" s="22" t="s">
        <v>21</v>
      </c>
      <c r="E36" s="227"/>
      <c r="F36" s="227"/>
      <c r="G36" s="227">
        <v>10697</v>
      </c>
      <c r="H36" s="23">
        <f t="shared" si="2"/>
        <v>10697</v>
      </c>
    </row>
    <row r="37" spans="1:8" ht="19.5" customHeight="1">
      <c r="A37" s="12"/>
      <c r="B37" s="12"/>
      <c r="C37" s="21">
        <v>3248</v>
      </c>
      <c r="D37" s="21" t="s">
        <v>121</v>
      </c>
      <c r="E37" s="23"/>
      <c r="F37" s="23"/>
      <c r="G37" s="23">
        <v>485877</v>
      </c>
      <c r="H37" s="23">
        <f t="shared" si="2"/>
        <v>485877</v>
      </c>
    </row>
    <row r="38" spans="1:8" ht="19.5" customHeight="1">
      <c r="A38" s="12"/>
      <c r="B38" s="12"/>
      <c r="C38" s="226">
        <v>3249</v>
      </c>
      <c r="D38" s="21" t="s">
        <v>121</v>
      </c>
      <c r="E38" s="227"/>
      <c r="F38" s="227"/>
      <c r="G38" s="227">
        <v>228123</v>
      </c>
      <c r="H38" s="23">
        <f t="shared" si="2"/>
        <v>228123</v>
      </c>
    </row>
    <row r="39" spans="1:8" ht="19.5" customHeight="1">
      <c r="A39" s="41"/>
      <c r="B39" s="42"/>
      <c r="C39" s="42"/>
      <c r="D39" s="239" t="s">
        <v>133</v>
      </c>
      <c r="E39" s="240">
        <v>80383393</v>
      </c>
      <c r="F39" s="240"/>
      <c r="G39" s="240"/>
      <c r="H39" s="240">
        <f t="shared" si="2"/>
        <v>80383393</v>
      </c>
    </row>
    <row r="43" ht="12.75">
      <c r="C43" s="1" t="s">
        <v>236</v>
      </c>
    </row>
    <row r="44" ht="12.75">
      <c r="C44" s="1" t="s">
        <v>237</v>
      </c>
    </row>
    <row r="45" ht="12.75">
      <c r="C45" s="1" t="s">
        <v>238</v>
      </c>
    </row>
  </sheetData>
  <printOptions horizontalCentered="1"/>
  <pageMargins left="0.5905511811023623" right="0.5905511811023623" top="0.5905511811023623" bottom="0.4724409448818898" header="0.5118110236220472" footer="0.31496062992125984"/>
  <pageSetup firstPageNumber="11" useFirstPageNumber="1" horizontalDpi="300" verticalDpi="3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5"/>
  <sheetViews>
    <sheetView zoomScaleSheetLayoutView="75" workbookViewId="0" topLeftCell="A1">
      <selection activeCell="C73" sqref="C73:C75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8.75390625" style="0" customWidth="1"/>
    <col min="4" max="4" width="78.125" style="0" customWidth="1"/>
    <col min="5" max="6" width="16.375" style="0" customWidth="1"/>
    <col min="7" max="7" width="16.00390625" style="0" customWidth="1"/>
    <col min="8" max="8" width="11.125" style="0" customWidth="1"/>
    <col min="9" max="9" width="12.125" style="0" customWidth="1"/>
    <col min="10" max="10" width="10.25390625" style="0" customWidth="1"/>
    <col min="12" max="13" width="9.25390625" style="0" bestFit="1" customWidth="1"/>
  </cols>
  <sheetData>
    <row r="1" spans="5:7" ht="15" customHeight="1">
      <c r="E1" s="1" t="s">
        <v>222</v>
      </c>
      <c r="F1" s="1"/>
      <c r="G1" s="1"/>
    </row>
    <row r="2" spans="1:7" ht="15" customHeight="1">
      <c r="A2" s="44"/>
      <c r="E2" s="1" t="s">
        <v>230</v>
      </c>
      <c r="F2" s="1"/>
      <c r="G2" s="1"/>
    </row>
    <row r="3" spans="1:7" ht="15" customHeight="1">
      <c r="A3" s="44"/>
      <c r="B3" s="2" t="s">
        <v>69</v>
      </c>
      <c r="C3" s="118"/>
      <c r="E3" s="1" t="s">
        <v>115</v>
      </c>
      <c r="F3" s="1"/>
      <c r="G3" s="1"/>
    </row>
    <row r="4" spans="2:7" ht="15" customHeight="1">
      <c r="B4" s="2" t="s">
        <v>124</v>
      </c>
      <c r="C4" s="118"/>
      <c r="E4" s="1" t="s">
        <v>223</v>
      </c>
      <c r="F4" s="1"/>
      <c r="G4" s="1"/>
    </row>
    <row r="5" ht="15" customHeight="1"/>
    <row r="6" ht="18.75" customHeight="1" thickBot="1">
      <c r="G6" s="3" t="s">
        <v>87</v>
      </c>
    </row>
    <row r="7" spans="1:7" ht="21" customHeight="1" thickTop="1">
      <c r="A7" s="374" t="s">
        <v>63</v>
      </c>
      <c r="B7" s="377" t="s">
        <v>64</v>
      </c>
      <c r="C7" s="377" t="s">
        <v>90</v>
      </c>
      <c r="D7" s="374" t="s">
        <v>65</v>
      </c>
      <c r="E7" s="237" t="s">
        <v>54</v>
      </c>
      <c r="F7" s="372" t="s">
        <v>86</v>
      </c>
      <c r="G7" s="373"/>
    </row>
    <row r="8" spans="1:7" ht="21" customHeight="1" thickBot="1">
      <c r="A8" s="376"/>
      <c r="B8" s="376"/>
      <c r="C8" s="376"/>
      <c r="D8" s="375"/>
      <c r="E8" s="241" t="s">
        <v>55</v>
      </c>
      <c r="F8" s="241" t="s">
        <v>164</v>
      </c>
      <c r="G8" s="241" t="s">
        <v>55</v>
      </c>
    </row>
    <row r="9" spans="1:7" ht="15.75" customHeight="1" thickBot="1" thickTop="1">
      <c r="A9" s="56">
        <v>1</v>
      </c>
      <c r="B9" s="56">
        <v>2</v>
      </c>
      <c r="C9" s="56">
        <v>3</v>
      </c>
      <c r="D9" s="56">
        <v>4</v>
      </c>
      <c r="E9" s="57">
        <v>5</v>
      </c>
      <c r="F9" s="57">
        <v>6</v>
      </c>
      <c r="G9" s="57">
        <v>7</v>
      </c>
    </row>
    <row r="10" spans="1:10" ht="18" customHeight="1" thickBot="1" thickTop="1">
      <c r="A10" s="58"/>
      <c r="B10" s="58"/>
      <c r="C10" s="58"/>
      <c r="D10" s="59" t="s">
        <v>66</v>
      </c>
      <c r="E10" s="167">
        <f>E11+E64</f>
        <v>1347288</v>
      </c>
      <c r="F10" s="167">
        <f>F11+F64</f>
        <v>675931</v>
      </c>
      <c r="G10" s="167">
        <f>G11+G64</f>
        <v>2023219</v>
      </c>
      <c r="H10" s="60">
        <f>G10-F10</f>
        <v>1347288</v>
      </c>
      <c r="I10" s="60"/>
      <c r="J10" s="60"/>
    </row>
    <row r="11" spans="1:10" ht="18" customHeight="1">
      <c r="A11" s="61"/>
      <c r="B11" s="61"/>
      <c r="C11" s="61"/>
      <c r="D11" s="62" t="s">
        <v>67</v>
      </c>
      <c r="E11" s="63">
        <f>E12+E28</f>
        <v>1347288</v>
      </c>
      <c r="F11" s="63">
        <f>F12+F28</f>
        <v>675931</v>
      </c>
      <c r="G11" s="63">
        <f>G12+G28</f>
        <v>107810</v>
      </c>
      <c r="H11" s="60"/>
      <c r="J11" s="60"/>
    </row>
    <row r="12" spans="1:7" ht="18" customHeight="1">
      <c r="A12" s="61"/>
      <c r="B12" s="61"/>
      <c r="C12" s="61"/>
      <c r="D12" s="62" t="s">
        <v>68</v>
      </c>
      <c r="E12" s="63">
        <f>E13+E19</f>
        <v>1347288</v>
      </c>
      <c r="F12" s="63"/>
      <c r="G12" s="63"/>
    </row>
    <row r="13" spans="1:7" ht="18" customHeight="1" thickBot="1">
      <c r="A13" s="55"/>
      <c r="B13" s="38"/>
      <c r="C13" s="38"/>
      <c r="D13" s="126" t="s">
        <v>220</v>
      </c>
      <c r="E13" s="127">
        <f>E14</f>
        <v>525478</v>
      </c>
      <c r="F13" s="127"/>
      <c r="G13" s="126"/>
    </row>
    <row r="14" spans="1:7" ht="18" customHeight="1" thickBot="1">
      <c r="A14" s="8"/>
      <c r="B14" s="8"/>
      <c r="C14" s="14"/>
      <c r="D14" s="36" t="s">
        <v>60</v>
      </c>
      <c r="E14" s="64">
        <f>E15</f>
        <v>525478</v>
      </c>
      <c r="F14" s="64"/>
      <c r="G14" s="64"/>
    </row>
    <row r="15" spans="1:7" ht="18" customHeight="1" thickTop="1">
      <c r="A15" s="34">
        <v>854</v>
      </c>
      <c r="B15" s="34"/>
      <c r="C15" s="18"/>
      <c r="D15" s="18" t="s">
        <v>71</v>
      </c>
      <c r="E15" s="19">
        <f>E16</f>
        <v>525478</v>
      </c>
      <c r="F15" s="19"/>
      <c r="G15" s="19"/>
    </row>
    <row r="16" spans="1:7" ht="18" customHeight="1">
      <c r="A16" s="8"/>
      <c r="B16" s="28">
        <v>85415</v>
      </c>
      <c r="C16" s="43"/>
      <c r="D16" s="43" t="s">
        <v>97</v>
      </c>
      <c r="E16" s="54">
        <f>E17</f>
        <v>525478</v>
      </c>
      <c r="F16" s="54"/>
      <c r="G16" s="54"/>
    </row>
    <row r="17" spans="1:7" ht="27" customHeight="1">
      <c r="A17" s="12"/>
      <c r="B17" s="20"/>
      <c r="C17" s="157"/>
      <c r="D17" s="312" t="s">
        <v>161</v>
      </c>
      <c r="E17" s="33">
        <f>E18</f>
        <v>525478</v>
      </c>
      <c r="F17" s="33"/>
      <c r="G17" s="32"/>
    </row>
    <row r="18" spans="1:7" ht="18" customHeight="1">
      <c r="A18" s="24"/>
      <c r="B18" s="24"/>
      <c r="C18" s="315">
        <v>2030</v>
      </c>
      <c r="D18" s="316" t="s">
        <v>162</v>
      </c>
      <c r="E18" s="35">
        <v>525478</v>
      </c>
      <c r="F18" s="29"/>
      <c r="G18" s="22"/>
    </row>
    <row r="19" spans="1:7" ht="18" customHeight="1" thickBot="1">
      <c r="A19" s="55"/>
      <c r="B19" s="38"/>
      <c r="C19" s="38"/>
      <c r="D19" s="126" t="s">
        <v>72</v>
      </c>
      <c r="E19" s="127">
        <f>E20</f>
        <v>821810</v>
      </c>
      <c r="F19" s="127"/>
      <c r="G19" s="126"/>
    </row>
    <row r="20" spans="1:7" ht="18" customHeight="1" thickBot="1">
      <c r="A20" s="8"/>
      <c r="B20" s="8"/>
      <c r="C20" s="14"/>
      <c r="D20" s="36" t="s">
        <v>132</v>
      </c>
      <c r="E20" s="64">
        <f>E21</f>
        <v>821810</v>
      </c>
      <c r="F20" s="64"/>
      <c r="G20" s="64"/>
    </row>
    <row r="21" spans="1:7" ht="18" customHeight="1" thickTop="1">
      <c r="A21" s="34">
        <v>854</v>
      </c>
      <c r="B21" s="34"/>
      <c r="C21" s="18"/>
      <c r="D21" s="18" t="s">
        <v>71</v>
      </c>
      <c r="E21" s="19">
        <f>E22</f>
        <v>821810</v>
      </c>
      <c r="F21" s="19"/>
      <c r="G21" s="19"/>
    </row>
    <row r="22" spans="1:7" ht="18" customHeight="1">
      <c r="A22" s="8"/>
      <c r="B22" s="28">
        <v>85415</v>
      </c>
      <c r="C22" s="43"/>
      <c r="D22" s="43" t="s">
        <v>97</v>
      </c>
      <c r="E22" s="54">
        <f>E23</f>
        <v>821810</v>
      </c>
      <c r="F22" s="54"/>
      <c r="G22" s="54"/>
    </row>
    <row r="23" spans="1:7" ht="27" customHeight="1">
      <c r="A23" s="12"/>
      <c r="B23" s="20"/>
      <c r="C23" s="189"/>
      <c r="D23" s="32" t="s">
        <v>138</v>
      </c>
      <c r="E23" s="33">
        <f>SUM(E24:E27)</f>
        <v>821810</v>
      </c>
      <c r="F23" s="33"/>
      <c r="G23" s="32"/>
    </row>
    <row r="24" spans="1:7" ht="37.5" customHeight="1">
      <c r="A24" s="24"/>
      <c r="B24" s="24"/>
      <c r="C24" s="21">
        <v>2888</v>
      </c>
      <c r="D24" s="22" t="s">
        <v>234</v>
      </c>
      <c r="E24" s="35">
        <f>559242-10514</f>
        <v>548728</v>
      </c>
      <c r="F24" s="29"/>
      <c r="G24" s="22"/>
    </row>
    <row r="25" spans="1:7" ht="39" customHeight="1">
      <c r="A25" s="24"/>
      <c r="B25" s="24"/>
      <c r="C25" s="21">
        <v>2889</v>
      </c>
      <c r="D25" s="22" t="s">
        <v>234</v>
      </c>
      <c r="E25" s="29">
        <f>262568-4936</f>
        <v>257632</v>
      </c>
      <c r="F25" s="29"/>
      <c r="G25" s="22"/>
    </row>
    <row r="26" spans="1:7" ht="38.25" customHeight="1">
      <c r="A26" s="24"/>
      <c r="B26" s="24"/>
      <c r="C26" s="21">
        <v>6648</v>
      </c>
      <c r="D26" s="22" t="s">
        <v>235</v>
      </c>
      <c r="E26" s="314">
        <v>10514</v>
      </c>
      <c r="F26" s="314"/>
      <c r="G26" s="369"/>
    </row>
    <row r="27" spans="1:7" ht="39" customHeight="1">
      <c r="A27" s="21"/>
      <c r="B27" s="21"/>
      <c r="C27" s="21">
        <v>6649</v>
      </c>
      <c r="D27" s="22" t="s">
        <v>235</v>
      </c>
      <c r="E27" s="314">
        <v>4936</v>
      </c>
      <c r="F27" s="314"/>
      <c r="G27" s="369"/>
    </row>
    <row r="28" spans="1:8" ht="19.5" customHeight="1">
      <c r="A28" s="12"/>
      <c r="B28" s="12"/>
      <c r="C28" s="24"/>
      <c r="D28" s="62" t="s">
        <v>29</v>
      </c>
      <c r="E28" s="63"/>
      <c r="F28" s="63">
        <f>F29+F34</f>
        <v>675931</v>
      </c>
      <c r="G28" s="63">
        <f>G29+G34</f>
        <v>107810</v>
      </c>
      <c r="H28" s="60"/>
    </row>
    <row r="29" spans="1:8" ht="18.75" customHeight="1" thickBot="1">
      <c r="A29" s="12"/>
      <c r="B29" s="12"/>
      <c r="C29" s="12"/>
      <c r="D29" s="36" t="s">
        <v>95</v>
      </c>
      <c r="E29" s="64"/>
      <c r="F29" s="64">
        <f>F30</f>
        <v>675931</v>
      </c>
      <c r="G29" s="64"/>
      <c r="H29" s="60"/>
    </row>
    <row r="30" spans="1:7" ht="19.5" customHeight="1" thickTop="1">
      <c r="A30" s="151">
        <v>854</v>
      </c>
      <c r="B30" s="66"/>
      <c r="C30" s="66"/>
      <c r="D30" s="18" t="s">
        <v>71</v>
      </c>
      <c r="E30" s="18"/>
      <c r="F30" s="19">
        <f>F31</f>
        <v>675931</v>
      </c>
      <c r="G30" s="19"/>
    </row>
    <row r="31" spans="1:7" ht="18" customHeight="1">
      <c r="A31" s="55"/>
      <c r="B31" s="53">
        <v>85415</v>
      </c>
      <c r="C31" s="156"/>
      <c r="D31" s="43" t="s">
        <v>97</v>
      </c>
      <c r="E31" s="43"/>
      <c r="F31" s="54">
        <f>F32</f>
        <v>675931</v>
      </c>
      <c r="G31" s="161"/>
    </row>
    <row r="32" spans="1:7" ht="19.5" customHeight="1">
      <c r="A32" s="136"/>
      <c r="B32" s="155"/>
      <c r="C32" s="270"/>
      <c r="D32" s="317" t="s">
        <v>163</v>
      </c>
      <c r="E32" s="32"/>
      <c r="F32" s="33">
        <f>F33</f>
        <v>675931</v>
      </c>
      <c r="G32" s="162"/>
    </row>
    <row r="33" spans="1:7" ht="19.5" customHeight="1">
      <c r="A33" s="12"/>
      <c r="B33" s="12"/>
      <c r="C33" s="319">
        <v>3240</v>
      </c>
      <c r="D33" s="319" t="s">
        <v>121</v>
      </c>
      <c r="E33" s="21"/>
      <c r="F33" s="23">
        <v>675931</v>
      </c>
      <c r="G33" s="23"/>
    </row>
    <row r="34" spans="1:8" ht="18.75" customHeight="1" thickBot="1">
      <c r="A34" s="12"/>
      <c r="B34" s="12"/>
      <c r="C34" s="12"/>
      <c r="D34" s="36" t="s">
        <v>51</v>
      </c>
      <c r="E34" s="64"/>
      <c r="F34" s="64"/>
      <c r="G34" s="64">
        <f>G35</f>
        <v>107810</v>
      </c>
      <c r="H34" s="60"/>
    </row>
    <row r="35" spans="1:7" ht="19.5" customHeight="1" thickTop="1">
      <c r="A35" s="151">
        <v>854</v>
      </c>
      <c r="B35" s="66"/>
      <c r="C35" s="66"/>
      <c r="D35" s="18" t="s">
        <v>71</v>
      </c>
      <c r="E35" s="18"/>
      <c r="F35" s="18"/>
      <c r="G35" s="160">
        <f>G36</f>
        <v>107810</v>
      </c>
    </row>
    <row r="36" spans="1:7" ht="18" customHeight="1">
      <c r="A36" s="55"/>
      <c r="B36" s="53">
        <v>85415</v>
      </c>
      <c r="C36" s="156"/>
      <c r="D36" s="43" t="s">
        <v>97</v>
      </c>
      <c r="E36" s="43"/>
      <c r="F36" s="43"/>
      <c r="G36" s="161">
        <f>G37</f>
        <v>107810</v>
      </c>
    </row>
    <row r="37" spans="1:7" ht="25.5" customHeight="1">
      <c r="A37" s="136"/>
      <c r="B37" s="155"/>
      <c r="C37" s="157"/>
      <c r="D37" s="32" t="s">
        <v>145</v>
      </c>
      <c r="E37" s="32"/>
      <c r="F37" s="32"/>
      <c r="G37" s="162">
        <f>G38+G39+G40+G41+G42+G43+G44+G45+G46+G47+G48+G49+G50+G51+G54+G57+G60+G63</f>
        <v>107810</v>
      </c>
    </row>
    <row r="38" spans="1:8" ht="19.5" customHeight="1">
      <c r="A38" s="12"/>
      <c r="B38" s="12"/>
      <c r="C38" s="21">
        <v>4118</v>
      </c>
      <c r="D38" s="21" t="s">
        <v>140</v>
      </c>
      <c r="E38" s="21"/>
      <c r="F38" s="21"/>
      <c r="G38" s="23">
        <v>1892</v>
      </c>
      <c r="H38" s="60"/>
    </row>
    <row r="39" spans="1:7" ht="19.5" customHeight="1">
      <c r="A39" s="12"/>
      <c r="B39" s="12"/>
      <c r="C39" s="21">
        <v>4119</v>
      </c>
      <c r="D39" s="21" t="s">
        <v>140</v>
      </c>
      <c r="E39" s="21"/>
      <c r="F39" s="21"/>
      <c r="G39" s="23">
        <v>888</v>
      </c>
    </row>
    <row r="40" spans="1:7" ht="19.5" customHeight="1">
      <c r="A40" s="12"/>
      <c r="B40" s="12"/>
      <c r="C40" s="21">
        <v>4128</v>
      </c>
      <c r="D40" s="21" t="s">
        <v>141</v>
      </c>
      <c r="E40" s="21"/>
      <c r="F40" s="21"/>
      <c r="G40" s="23">
        <v>248</v>
      </c>
    </row>
    <row r="41" spans="1:7" ht="19.5" customHeight="1">
      <c r="A41" s="12"/>
      <c r="B41" s="12"/>
      <c r="C41" s="21">
        <v>4129</v>
      </c>
      <c r="D41" s="21" t="s">
        <v>141</v>
      </c>
      <c r="E41" s="21"/>
      <c r="F41" s="21"/>
      <c r="G41" s="23">
        <v>116</v>
      </c>
    </row>
    <row r="42" spans="1:7" ht="19.5" customHeight="1">
      <c r="A42" s="12"/>
      <c r="B42" s="12"/>
      <c r="C42" s="21">
        <v>4178</v>
      </c>
      <c r="D42" s="21" t="s">
        <v>142</v>
      </c>
      <c r="E42" s="21"/>
      <c r="F42" s="21"/>
      <c r="G42" s="23">
        <v>10109</v>
      </c>
    </row>
    <row r="43" spans="1:7" ht="19.5" customHeight="1">
      <c r="A43" s="12"/>
      <c r="B43" s="12"/>
      <c r="C43" s="21">
        <v>4179</v>
      </c>
      <c r="D43" s="21" t="s">
        <v>142</v>
      </c>
      <c r="E43" s="21"/>
      <c r="F43" s="21"/>
      <c r="G43" s="23">
        <v>4747</v>
      </c>
    </row>
    <row r="44" spans="1:7" ht="19.5" customHeight="1">
      <c r="A44" s="12"/>
      <c r="B44" s="12"/>
      <c r="C44" s="21">
        <v>4218</v>
      </c>
      <c r="D44" s="21" t="s">
        <v>96</v>
      </c>
      <c r="E44" s="21"/>
      <c r="F44" s="21"/>
      <c r="G44" s="23">
        <v>20115</v>
      </c>
    </row>
    <row r="45" spans="1:7" ht="19.5" customHeight="1">
      <c r="A45" s="12"/>
      <c r="B45" s="12"/>
      <c r="C45" s="21">
        <v>4219</v>
      </c>
      <c r="D45" s="21" t="s">
        <v>96</v>
      </c>
      <c r="E45" s="21"/>
      <c r="F45" s="21"/>
      <c r="G45" s="23">
        <v>9445</v>
      </c>
    </row>
    <row r="46" spans="1:7" ht="19.5" customHeight="1">
      <c r="A46" s="12"/>
      <c r="B46" s="12"/>
      <c r="C46" s="21">
        <v>4308</v>
      </c>
      <c r="D46" s="21" t="s">
        <v>144</v>
      </c>
      <c r="E46" s="21"/>
      <c r="F46" s="21"/>
      <c r="G46" s="23">
        <v>817</v>
      </c>
    </row>
    <row r="47" spans="1:7" ht="19.5" customHeight="1">
      <c r="A47" s="12"/>
      <c r="B47" s="12"/>
      <c r="C47" s="21">
        <v>4309</v>
      </c>
      <c r="D47" s="21" t="s">
        <v>144</v>
      </c>
      <c r="E47" s="21"/>
      <c r="F47" s="21"/>
      <c r="G47" s="23">
        <v>383</v>
      </c>
    </row>
    <row r="48" spans="1:7" ht="19.5" customHeight="1">
      <c r="A48" s="12"/>
      <c r="B48" s="12"/>
      <c r="C48" s="21">
        <v>4438</v>
      </c>
      <c r="D48" s="21" t="s">
        <v>143</v>
      </c>
      <c r="E48" s="21"/>
      <c r="F48" s="21"/>
      <c r="G48" s="23">
        <v>272</v>
      </c>
    </row>
    <row r="49" spans="1:7" ht="19.5" customHeight="1">
      <c r="A49" s="12"/>
      <c r="B49" s="12"/>
      <c r="C49" s="21">
        <v>4439</v>
      </c>
      <c r="D49" s="21" t="s">
        <v>143</v>
      </c>
      <c r="E49" s="21"/>
      <c r="F49" s="21"/>
      <c r="G49" s="23">
        <v>128</v>
      </c>
    </row>
    <row r="50" spans="1:8" ht="19.5" customHeight="1">
      <c r="A50" s="12"/>
      <c r="B50" s="12"/>
      <c r="C50" s="21">
        <v>6068</v>
      </c>
      <c r="D50" s="21" t="s">
        <v>228</v>
      </c>
      <c r="E50" s="21"/>
      <c r="F50" s="21"/>
      <c r="G50" s="23">
        <v>10514</v>
      </c>
      <c r="H50" s="60"/>
    </row>
    <row r="51" spans="1:7" ht="19.5" customHeight="1">
      <c r="A51" s="12"/>
      <c r="B51" s="12"/>
      <c r="C51" s="21">
        <v>6069</v>
      </c>
      <c r="D51" s="21" t="s">
        <v>228</v>
      </c>
      <c r="E51" s="21"/>
      <c r="F51" s="21"/>
      <c r="G51" s="23">
        <v>4936</v>
      </c>
    </row>
    <row r="52" spans="1:7" ht="20.25" customHeight="1">
      <c r="A52" s="12"/>
      <c r="B52" s="12"/>
      <c r="C52" s="24"/>
      <c r="D52" s="137" t="s">
        <v>146</v>
      </c>
      <c r="E52" s="223"/>
      <c r="F52" s="223"/>
      <c r="G52" s="139">
        <v>1103</v>
      </c>
    </row>
    <row r="53" spans="1:8" ht="21" customHeight="1">
      <c r="A53" s="12"/>
      <c r="B53" s="12"/>
      <c r="C53" s="222"/>
      <c r="D53" s="137" t="s">
        <v>36</v>
      </c>
      <c r="E53" s="138"/>
      <c r="F53" s="138"/>
      <c r="G53" s="149">
        <v>5512</v>
      </c>
      <c r="H53" s="367"/>
    </row>
    <row r="54" spans="1:8" ht="21" customHeight="1">
      <c r="A54" s="26"/>
      <c r="B54" s="26"/>
      <c r="C54" s="226">
        <v>2548</v>
      </c>
      <c r="D54" s="22" t="s">
        <v>20</v>
      </c>
      <c r="E54" s="29"/>
      <c r="F54" s="29"/>
      <c r="G54" s="23">
        <f>SUM(G52:G53)</f>
        <v>6615</v>
      </c>
      <c r="H54" s="368"/>
    </row>
    <row r="55" spans="1:7" ht="27.75" customHeight="1">
      <c r="A55" s="12"/>
      <c r="B55" s="12"/>
      <c r="C55" s="222"/>
      <c r="D55" s="364" t="s">
        <v>146</v>
      </c>
      <c r="E55" s="168"/>
      <c r="F55" s="168"/>
      <c r="G55" s="150">
        <v>517</v>
      </c>
    </row>
    <row r="56" spans="1:7" ht="21.75" customHeight="1">
      <c r="A56" s="12"/>
      <c r="B56" s="12"/>
      <c r="C56" s="222"/>
      <c r="D56" s="137" t="s">
        <v>36</v>
      </c>
      <c r="E56" s="138"/>
      <c r="F56" s="138"/>
      <c r="G56" s="149">
        <v>2588</v>
      </c>
    </row>
    <row r="57" spans="1:7" ht="21.75" customHeight="1">
      <c r="A57" s="12"/>
      <c r="B57" s="12"/>
      <c r="C57" s="226">
        <v>2549</v>
      </c>
      <c r="D57" s="22" t="s">
        <v>20</v>
      </c>
      <c r="E57" s="29"/>
      <c r="F57" s="29"/>
      <c r="G57" s="23">
        <f>SUM(G55:G56)</f>
        <v>3105</v>
      </c>
    </row>
    <row r="58" spans="1:7" ht="26.25" customHeight="1">
      <c r="A58" s="12"/>
      <c r="B58" s="12"/>
      <c r="C58" s="222"/>
      <c r="D58" s="229" t="s">
        <v>35</v>
      </c>
      <c r="E58" s="168"/>
      <c r="F58" s="168"/>
      <c r="G58" s="150">
        <v>20946</v>
      </c>
    </row>
    <row r="59" spans="1:7" ht="27" customHeight="1">
      <c r="A59" s="12"/>
      <c r="B59" s="12"/>
      <c r="C59" s="222"/>
      <c r="D59" s="137" t="s">
        <v>45</v>
      </c>
      <c r="E59" s="138"/>
      <c r="F59" s="138"/>
      <c r="G59" s="149">
        <v>1837</v>
      </c>
    </row>
    <row r="60" spans="1:7" ht="30.75" customHeight="1">
      <c r="A60" s="12"/>
      <c r="B60" s="12"/>
      <c r="C60" s="226">
        <v>2598</v>
      </c>
      <c r="D60" s="22" t="s">
        <v>21</v>
      </c>
      <c r="E60" s="29"/>
      <c r="F60" s="29"/>
      <c r="G60" s="23">
        <f>SUM(G58:G59)</f>
        <v>22783</v>
      </c>
    </row>
    <row r="61" spans="1:7" ht="26.25" customHeight="1">
      <c r="A61" s="12"/>
      <c r="B61" s="12"/>
      <c r="C61" s="222"/>
      <c r="D61" s="229" t="s">
        <v>35</v>
      </c>
      <c r="E61" s="168"/>
      <c r="F61" s="168"/>
      <c r="G61" s="150">
        <v>9834</v>
      </c>
    </row>
    <row r="62" spans="1:7" ht="27" customHeight="1">
      <c r="A62" s="12"/>
      <c r="B62" s="12"/>
      <c r="C62" s="222"/>
      <c r="D62" s="137" t="s">
        <v>46</v>
      </c>
      <c r="E62" s="138"/>
      <c r="F62" s="138"/>
      <c r="G62" s="149">
        <v>863</v>
      </c>
    </row>
    <row r="63" spans="1:7" ht="30" customHeight="1">
      <c r="A63" s="12"/>
      <c r="B63" s="12"/>
      <c r="C63" s="226">
        <v>2599</v>
      </c>
      <c r="D63" s="22" t="s">
        <v>21</v>
      </c>
      <c r="E63" s="29"/>
      <c r="F63" s="29"/>
      <c r="G63" s="23">
        <f>SUM(G61:G62)</f>
        <v>10697</v>
      </c>
    </row>
    <row r="64" spans="1:7" ht="18.75" customHeight="1">
      <c r="A64" s="12"/>
      <c r="B64" s="12"/>
      <c r="C64" s="24"/>
      <c r="D64" s="62" t="s">
        <v>30</v>
      </c>
      <c r="E64" s="63"/>
      <c r="F64" s="63"/>
      <c r="G64" s="63">
        <f>G65+G67</f>
        <v>1915409</v>
      </c>
    </row>
    <row r="65" spans="1:9" ht="15.75" customHeight="1" thickBot="1">
      <c r="A65" s="14"/>
      <c r="B65" s="14"/>
      <c r="C65" s="14"/>
      <c r="D65" s="36" t="s">
        <v>95</v>
      </c>
      <c r="E65" s="64"/>
      <c r="F65" s="64"/>
      <c r="G65" s="64">
        <f>G66</f>
        <v>1201409</v>
      </c>
      <c r="H65" s="60"/>
      <c r="I65" s="60"/>
    </row>
    <row r="66" spans="1:7" ht="19.5" customHeight="1" thickTop="1">
      <c r="A66" s="17">
        <v>854</v>
      </c>
      <c r="B66" s="17"/>
      <c r="C66" s="17"/>
      <c r="D66" s="17" t="s">
        <v>71</v>
      </c>
      <c r="E66" s="27"/>
      <c r="F66" s="27"/>
      <c r="G66" s="27">
        <v>1201409</v>
      </c>
    </row>
    <row r="67" spans="1:9" ht="19.5" customHeight="1" thickBot="1">
      <c r="A67" s="14"/>
      <c r="B67" s="14"/>
      <c r="C67" s="14"/>
      <c r="D67" s="36" t="s">
        <v>51</v>
      </c>
      <c r="E67" s="64"/>
      <c r="F67" s="64"/>
      <c r="G67" s="64">
        <f>G68</f>
        <v>714000</v>
      </c>
      <c r="H67" s="60"/>
      <c r="I67" s="60"/>
    </row>
    <row r="68" spans="1:7" ht="19.5" customHeight="1" thickTop="1">
      <c r="A68" s="17">
        <v>854</v>
      </c>
      <c r="B68" s="17"/>
      <c r="C68" s="17"/>
      <c r="D68" s="17" t="s">
        <v>71</v>
      </c>
      <c r="E68" s="27"/>
      <c r="F68" s="27"/>
      <c r="G68" s="27">
        <v>714000</v>
      </c>
    </row>
    <row r="70" ht="12.75">
      <c r="D70" s="198"/>
    </row>
    <row r="71" ht="12.75">
      <c r="D71" s="198"/>
    </row>
    <row r="72" ht="12.75">
      <c r="D72" s="198"/>
    </row>
    <row r="73" spans="3:4" ht="12.75">
      <c r="C73" t="s">
        <v>236</v>
      </c>
      <c r="D73" s="198"/>
    </row>
    <row r="74" spans="3:4" ht="12.75">
      <c r="C74" t="s">
        <v>237</v>
      </c>
      <c r="D74" s="198"/>
    </row>
    <row r="75" spans="3:4" ht="12.75">
      <c r="C75" t="s">
        <v>238</v>
      </c>
      <c r="D75" s="198"/>
    </row>
  </sheetData>
  <mergeCells count="5">
    <mergeCell ref="F7:G7"/>
    <mergeCell ref="D7:D8"/>
    <mergeCell ref="A7:A8"/>
    <mergeCell ref="B7:B8"/>
    <mergeCell ref="C7:C8"/>
  </mergeCells>
  <printOptions horizontalCentered="1"/>
  <pageMargins left="0.5905511811023623" right="0.5905511811023623" top="0.56" bottom="0.65" header="0.5118110236220472" footer="0.5118110236220472"/>
  <pageSetup firstPageNumber="13" useFirstPageNumber="1" horizontalDpi="300" verticalDpi="3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D6" sqref="D6"/>
    </sheetView>
  </sheetViews>
  <sheetFormatPr defaultColWidth="9.00390625" defaultRowHeight="12.75"/>
  <cols>
    <col min="1" max="1" width="0.12890625" style="169" customWidth="1"/>
    <col min="2" max="2" width="52.125" style="171" customWidth="1"/>
    <col min="3" max="3" width="14.375" style="171" customWidth="1"/>
    <col min="4" max="4" width="15.00390625" style="171" customWidth="1"/>
    <col min="5" max="5" width="14.25390625" style="171" customWidth="1"/>
    <col min="6" max="6" width="14.375" style="172" customWidth="1"/>
    <col min="7" max="7" width="14.00390625" style="134" customWidth="1"/>
    <col min="8" max="8" width="1.625" style="134" customWidth="1"/>
    <col min="9" max="9" width="14.00390625" style="134" customWidth="1"/>
    <col min="10" max="16384" width="9.125" style="134" customWidth="1"/>
  </cols>
  <sheetData>
    <row r="1" spans="2:7" ht="15.75" customHeight="1">
      <c r="B1" s="170" t="s">
        <v>37</v>
      </c>
      <c r="C1" s="170"/>
      <c r="D1" s="134"/>
      <c r="E1" s="134"/>
      <c r="F1" s="134"/>
      <c r="G1" s="172"/>
    </row>
    <row r="2" spans="1:7" ht="13.5" thickBot="1">
      <c r="A2" s="173"/>
      <c r="B2" s="361"/>
      <c r="C2" s="361"/>
      <c r="D2" s="361"/>
      <c r="E2" s="361"/>
      <c r="F2" s="361"/>
      <c r="G2" s="172"/>
    </row>
    <row r="3" spans="1:7" s="135" customFormat="1" ht="12.75">
      <c r="A3" s="169"/>
      <c r="B3" s="188" t="s">
        <v>126</v>
      </c>
      <c r="C3" s="356" t="s">
        <v>219</v>
      </c>
      <c r="D3" s="356" t="s">
        <v>38</v>
      </c>
      <c r="E3" s="356" t="s">
        <v>39</v>
      </c>
      <c r="F3" s="193"/>
      <c r="G3" s="166"/>
    </row>
    <row r="4" spans="1:8" s="135" customFormat="1" ht="12.75">
      <c r="A4" s="169"/>
      <c r="B4" s="188" t="s">
        <v>127</v>
      </c>
      <c r="C4" s="184" t="s">
        <v>108</v>
      </c>
      <c r="D4" s="184" t="s">
        <v>108</v>
      </c>
      <c r="E4" s="184" t="s">
        <v>108</v>
      </c>
      <c r="F4" s="193" t="s">
        <v>98</v>
      </c>
      <c r="G4" s="166"/>
      <c r="H4" s="175"/>
    </row>
    <row r="5" spans="1:8" s="135" customFormat="1" ht="12.75">
      <c r="A5" s="169"/>
      <c r="B5" s="195" t="s">
        <v>99</v>
      </c>
      <c r="C5" s="184" t="s">
        <v>125</v>
      </c>
      <c r="D5" s="184" t="s">
        <v>125</v>
      </c>
      <c r="E5" s="184" t="s">
        <v>125</v>
      </c>
      <c r="F5" s="194"/>
      <c r="G5" s="166"/>
      <c r="H5" s="175"/>
    </row>
    <row r="6" spans="1:8" s="135" customFormat="1" ht="12.75">
      <c r="A6" s="169"/>
      <c r="B6" s="195" t="s">
        <v>100</v>
      </c>
      <c r="C6" s="324"/>
      <c r="D6" s="184"/>
      <c r="E6" s="184"/>
      <c r="F6" s="242"/>
      <c r="H6" s="175"/>
    </row>
    <row r="7" spans="1:8" s="186" customFormat="1" ht="11.25" customHeight="1" thickBot="1">
      <c r="A7" s="169"/>
      <c r="B7" s="359">
        <v>1</v>
      </c>
      <c r="C7" s="360">
        <v>2</v>
      </c>
      <c r="D7" s="360">
        <v>3</v>
      </c>
      <c r="E7" s="360">
        <v>4</v>
      </c>
      <c r="F7" s="360">
        <v>5</v>
      </c>
      <c r="H7" s="185"/>
    </row>
    <row r="8" spans="1:8" s="186" customFormat="1" ht="12.75">
      <c r="A8" s="169"/>
      <c r="B8" s="357" t="s">
        <v>93</v>
      </c>
      <c r="C8" s="358">
        <f>C9+C96</f>
        <v>1201409</v>
      </c>
      <c r="D8" s="358">
        <f>D9+D96</f>
        <v>485877</v>
      </c>
      <c r="E8" s="358">
        <f>E9+E96</f>
        <v>228123</v>
      </c>
      <c r="F8" s="358">
        <f>SUM(C8:E8)</f>
        <v>1915409</v>
      </c>
      <c r="H8" s="185"/>
    </row>
    <row r="9" spans="1:8" s="332" customFormat="1" ht="23.25" customHeight="1" thickBot="1">
      <c r="A9" s="326"/>
      <c r="B9" s="330" t="s">
        <v>95</v>
      </c>
      <c r="C9" s="331">
        <f>C10</f>
        <v>1201409</v>
      </c>
      <c r="D9" s="331"/>
      <c r="E9" s="331"/>
      <c r="F9" s="331">
        <f aca="true" t="shared" si="0" ref="F9:F72">SUM(C9:E9)</f>
        <v>1201409</v>
      </c>
      <c r="H9" s="333"/>
    </row>
    <row r="10" spans="1:8" s="135" customFormat="1" ht="18" customHeight="1" thickBot="1" thickTop="1">
      <c r="A10" s="176"/>
      <c r="B10" s="321" t="s">
        <v>28</v>
      </c>
      <c r="C10" s="325">
        <f>C11</f>
        <v>1201409</v>
      </c>
      <c r="D10" s="322"/>
      <c r="E10" s="322"/>
      <c r="F10" s="325">
        <f t="shared" si="0"/>
        <v>1201409</v>
      </c>
      <c r="G10" s="174"/>
      <c r="H10" s="175"/>
    </row>
    <row r="11" spans="1:7" s="181" customFormat="1" ht="19.5" customHeight="1" thickBot="1">
      <c r="A11" s="180">
        <v>80120</v>
      </c>
      <c r="B11" s="191" t="s">
        <v>48</v>
      </c>
      <c r="C11" s="334">
        <f>SUM(C12:C95)</f>
        <v>1201409</v>
      </c>
      <c r="D11" s="187"/>
      <c r="E11" s="187"/>
      <c r="F11" s="334">
        <f t="shared" si="0"/>
        <v>1201409</v>
      </c>
      <c r="G11" s="177"/>
    </row>
    <row r="12" spans="1:8" s="186" customFormat="1" ht="19.5" customHeight="1">
      <c r="A12" s="169"/>
      <c r="B12" s="327" t="s">
        <v>165</v>
      </c>
      <c r="C12" s="329">
        <f>19936+21450</f>
        <v>41386</v>
      </c>
      <c r="D12" s="329"/>
      <c r="E12" s="329"/>
      <c r="F12" s="329">
        <f t="shared" si="0"/>
        <v>41386</v>
      </c>
      <c r="H12" s="185"/>
    </row>
    <row r="13" spans="1:8" s="186" customFormat="1" ht="19.5" customHeight="1">
      <c r="A13" s="169"/>
      <c r="B13" s="327" t="s">
        <v>166</v>
      </c>
      <c r="C13" s="329">
        <f>9071+9633</f>
        <v>18704</v>
      </c>
      <c r="D13" s="329"/>
      <c r="E13" s="329"/>
      <c r="F13" s="329">
        <f t="shared" si="0"/>
        <v>18704</v>
      </c>
      <c r="H13" s="185"/>
    </row>
    <row r="14" spans="1:8" s="186" customFormat="1" ht="19.5" customHeight="1">
      <c r="A14" s="169"/>
      <c r="B14" s="327" t="s">
        <v>167</v>
      </c>
      <c r="C14" s="329">
        <f>5512+4959</f>
        <v>10471</v>
      </c>
      <c r="D14" s="329"/>
      <c r="E14" s="329"/>
      <c r="F14" s="329">
        <f t="shared" si="0"/>
        <v>10471</v>
      </c>
      <c r="H14" s="185"/>
    </row>
    <row r="15" spans="1:8" s="186" customFormat="1" ht="19.5" customHeight="1">
      <c r="A15" s="169"/>
      <c r="B15" s="327" t="s">
        <v>168</v>
      </c>
      <c r="C15" s="329">
        <f>3920+5745</f>
        <v>9665</v>
      </c>
      <c r="D15" s="329"/>
      <c r="E15" s="329"/>
      <c r="F15" s="329">
        <f t="shared" si="0"/>
        <v>9665</v>
      </c>
      <c r="H15" s="185"/>
    </row>
    <row r="16" spans="1:8" s="186" customFormat="1" ht="19.5" customHeight="1">
      <c r="A16" s="169"/>
      <c r="B16" s="327" t="s">
        <v>169</v>
      </c>
      <c r="C16" s="329">
        <f>14705+15114</f>
        <v>29819</v>
      </c>
      <c r="D16" s="329"/>
      <c r="E16" s="329"/>
      <c r="F16" s="329">
        <f t="shared" si="0"/>
        <v>29819</v>
      </c>
      <c r="H16" s="185"/>
    </row>
    <row r="17" spans="1:8" s="186" customFormat="1" ht="19.5" customHeight="1">
      <c r="A17" s="169"/>
      <c r="B17" s="327" t="s">
        <v>170</v>
      </c>
      <c r="C17" s="329">
        <f>4680+8958</f>
        <v>13638</v>
      </c>
      <c r="D17" s="329"/>
      <c r="E17" s="329"/>
      <c r="F17" s="329">
        <f t="shared" si="0"/>
        <v>13638</v>
      </c>
      <c r="H17" s="185"/>
    </row>
    <row r="18" spans="1:8" s="186" customFormat="1" ht="19.5" customHeight="1">
      <c r="A18" s="169"/>
      <c r="B18" s="327" t="s">
        <v>171</v>
      </c>
      <c r="C18" s="329">
        <f>6048+7761</f>
        <v>13809</v>
      </c>
      <c r="D18" s="329"/>
      <c r="E18" s="329"/>
      <c r="F18" s="329">
        <f t="shared" si="0"/>
        <v>13809</v>
      </c>
      <c r="H18" s="185"/>
    </row>
    <row r="19" spans="1:8" s="186" customFormat="1" ht="19.5" customHeight="1">
      <c r="A19" s="169"/>
      <c r="B19" s="327" t="s">
        <v>172</v>
      </c>
      <c r="C19" s="329">
        <f>12230+18879</f>
        <v>31109</v>
      </c>
      <c r="D19" s="329"/>
      <c r="E19" s="329"/>
      <c r="F19" s="329">
        <f t="shared" si="0"/>
        <v>31109</v>
      </c>
      <c r="H19" s="185"/>
    </row>
    <row r="20" spans="1:8" s="186" customFormat="1" ht="19.5" customHeight="1">
      <c r="A20" s="169"/>
      <c r="B20" s="327" t="s">
        <v>173</v>
      </c>
      <c r="C20" s="329">
        <f>6731+4722</f>
        <v>11453</v>
      </c>
      <c r="D20" s="329"/>
      <c r="E20" s="329"/>
      <c r="F20" s="329">
        <f t="shared" si="0"/>
        <v>11453</v>
      </c>
      <c r="H20" s="185"/>
    </row>
    <row r="21" spans="1:8" s="186" customFormat="1" ht="19.5" customHeight="1">
      <c r="A21" s="169"/>
      <c r="B21" s="327" t="s">
        <v>174</v>
      </c>
      <c r="C21" s="329">
        <f>17516+20526</f>
        <v>38042</v>
      </c>
      <c r="D21" s="329"/>
      <c r="E21" s="329"/>
      <c r="F21" s="329">
        <f t="shared" si="0"/>
        <v>38042</v>
      </c>
      <c r="H21" s="185"/>
    </row>
    <row r="22" spans="1:8" s="186" customFormat="1" ht="19.5" customHeight="1">
      <c r="A22" s="169"/>
      <c r="B22" s="327" t="s">
        <v>175</v>
      </c>
      <c r="C22" s="329">
        <f>17147+22593</f>
        <v>39740</v>
      </c>
      <c r="D22" s="329"/>
      <c r="E22" s="329"/>
      <c r="F22" s="329">
        <f t="shared" si="0"/>
        <v>39740</v>
      </c>
      <c r="H22" s="185"/>
    </row>
    <row r="23" spans="1:8" s="186" customFormat="1" ht="19.5" customHeight="1">
      <c r="A23" s="169"/>
      <c r="B23" s="327" t="s">
        <v>176</v>
      </c>
      <c r="C23" s="329">
        <f>11021+11313</f>
        <v>22334</v>
      </c>
      <c r="D23" s="329"/>
      <c r="E23" s="329"/>
      <c r="F23" s="329">
        <f t="shared" si="0"/>
        <v>22334</v>
      </c>
      <c r="H23" s="185"/>
    </row>
    <row r="24" spans="1:8" s="186" customFormat="1" ht="19.5" customHeight="1">
      <c r="A24" s="169"/>
      <c r="B24" s="327" t="s">
        <v>177</v>
      </c>
      <c r="C24" s="329">
        <f>8567+18012</f>
        <v>26579</v>
      </c>
      <c r="D24" s="329"/>
      <c r="E24" s="329"/>
      <c r="F24" s="329">
        <f t="shared" si="0"/>
        <v>26579</v>
      </c>
      <c r="H24" s="185"/>
    </row>
    <row r="25" spans="1:8" s="186" customFormat="1" ht="19.5" customHeight="1">
      <c r="A25" s="169"/>
      <c r="B25" s="327" t="s">
        <v>178</v>
      </c>
      <c r="C25" s="329">
        <f>10854+9729</f>
        <v>20583</v>
      </c>
      <c r="D25" s="329"/>
      <c r="E25" s="329"/>
      <c r="F25" s="329">
        <f t="shared" si="0"/>
        <v>20583</v>
      </c>
      <c r="H25" s="185"/>
    </row>
    <row r="26" spans="1:8" s="186" customFormat="1" ht="19.5" customHeight="1">
      <c r="A26" s="169"/>
      <c r="B26" s="327" t="s">
        <v>179</v>
      </c>
      <c r="C26" s="329">
        <f>3920+4263</f>
        <v>8183</v>
      </c>
      <c r="D26" s="329"/>
      <c r="E26" s="329"/>
      <c r="F26" s="329">
        <f t="shared" si="0"/>
        <v>8183</v>
      </c>
      <c r="H26" s="185"/>
    </row>
    <row r="27" spans="1:8" s="186" customFormat="1" ht="19.5" customHeight="1">
      <c r="A27" s="169"/>
      <c r="B27" s="327" t="s">
        <v>180</v>
      </c>
      <c r="C27" s="329">
        <f>23916+21834</f>
        <v>45750</v>
      </c>
      <c r="D27" s="329"/>
      <c r="E27" s="329"/>
      <c r="F27" s="329">
        <f t="shared" si="0"/>
        <v>45750</v>
      </c>
      <c r="H27" s="185"/>
    </row>
    <row r="28" spans="1:8" s="186" customFormat="1" ht="19.5" customHeight="1">
      <c r="A28" s="169"/>
      <c r="B28" s="327" t="s">
        <v>181</v>
      </c>
      <c r="C28" s="329">
        <f>8769+7269</f>
        <v>16038</v>
      </c>
      <c r="D28" s="329"/>
      <c r="E28" s="329"/>
      <c r="F28" s="329">
        <f t="shared" si="0"/>
        <v>16038</v>
      </c>
      <c r="H28" s="185"/>
    </row>
    <row r="29" spans="1:8" s="186" customFormat="1" ht="19.5" customHeight="1">
      <c r="A29" s="169"/>
      <c r="B29" s="327" t="s">
        <v>182</v>
      </c>
      <c r="C29" s="329">
        <f>10214+15189</f>
        <v>25403</v>
      </c>
      <c r="D29" s="329"/>
      <c r="E29" s="329"/>
      <c r="F29" s="329">
        <f t="shared" si="0"/>
        <v>25403</v>
      </c>
      <c r="H29" s="185"/>
    </row>
    <row r="30" spans="1:8" s="186" customFormat="1" ht="19.5" customHeight="1">
      <c r="A30" s="169"/>
      <c r="B30" s="327" t="s">
        <v>183</v>
      </c>
      <c r="C30" s="329">
        <f>8765+12066</f>
        <v>20831</v>
      </c>
      <c r="D30" s="329"/>
      <c r="E30" s="329"/>
      <c r="F30" s="329">
        <f t="shared" si="0"/>
        <v>20831</v>
      </c>
      <c r="H30" s="185"/>
    </row>
    <row r="31" spans="1:8" s="186" customFormat="1" ht="19.5" customHeight="1">
      <c r="A31" s="169"/>
      <c r="B31" s="327" t="s">
        <v>184</v>
      </c>
      <c r="C31" s="329">
        <f>3226+4761</f>
        <v>7987</v>
      </c>
      <c r="D31" s="329"/>
      <c r="E31" s="329"/>
      <c r="F31" s="329">
        <f t="shared" si="0"/>
        <v>7987</v>
      </c>
      <c r="H31" s="185"/>
    </row>
    <row r="32" spans="1:8" s="186" customFormat="1" ht="19.5" customHeight="1">
      <c r="A32" s="169"/>
      <c r="B32" s="327" t="s">
        <v>185</v>
      </c>
      <c r="C32" s="329">
        <f>5040+4452</f>
        <v>9492</v>
      </c>
      <c r="D32" s="329"/>
      <c r="E32" s="329"/>
      <c r="F32" s="329">
        <f t="shared" si="0"/>
        <v>9492</v>
      </c>
      <c r="H32" s="185"/>
    </row>
    <row r="33" spans="1:8" s="186" customFormat="1" ht="19.5" customHeight="1">
      <c r="A33" s="169"/>
      <c r="B33" s="327" t="s">
        <v>186</v>
      </c>
      <c r="C33" s="329">
        <f>9856+7314</f>
        <v>17170</v>
      </c>
      <c r="D33" s="329"/>
      <c r="E33" s="329"/>
      <c r="F33" s="329">
        <f t="shared" si="0"/>
        <v>17170</v>
      </c>
      <c r="H33" s="185"/>
    </row>
    <row r="34" spans="1:8" s="186" customFormat="1" ht="19.5" customHeight="1">
      <c r="A34" s="169"/>
      <c r="B34" s="327" t="s">
        <v>187</v>
      </c>
      <c r="C34" s="329">
        <f>8065+10554</f>
        <v>18619</v>
      </c>
      <c r="D34" s="329"/>
      <c r="E34" s="329"/>
      <c r="F34" s="329">
        <f t="shared" si="0"/>
        <v>18619</v>
      </c>
      <c r="H34" s="185"/>
    </row>
    <row r="35" spans="1:8" s="186" customFormat="1" ht="19.5" customHeight="1">
      <c r="A35" s="169"/>
      <c r="B35" s="327" t="s">
        <v>188</v>
      </c>
      <c r="C35" s="329">
        <f>7943+7620</f>
        <v>15563</v>
      </c>
      <c r="D35" s="329"/>
      <c r="E35" s="329"/>
      <c r="F35" s="329">
        <f t="shared" si="0"/>
        <v>15563</v>
      </c>
      <c r="H35" s="185"/>
    </row>
    <row r="36" spans="1:8" s="186" customFormat="1" ht="19.5" customHeight="1">
      <c r="A36" s="169"/>
      <c r="B36" s="327" t="s">
        <v>189</v>
      </c>
      <c r="C36" s="329">
        <f>7952+7116</f>
        <v>15068</v>
      </c>
      <c r="D36" s="329"/>
      <c r="E36" s="329"/>
      <c r="F36" s="329">
        <f t="shared" si="0"/>
        <v>15068</v>
      </c>
      <c r="H36" s="185"/>
    </row>
    <row r="37" spans="1:8" s="186" customFormat="1" ht="19.5" customHeight="1">
      <c r="A37" s="169"/>
      <c r="B37" s="327" t="s">
        <v>190</v>
      </c>
      <c r="C37" s="329">
        <f>3248+3141</f>
        <v>6389</v>
      </c>
      <c r="D37" s="329"/>
      <c r="E37" s="329"/>
      <c r="F37" s="329">
        <f t="shared" si="0"/>
        <v>6389</v>
      </c>
      <c r="H37" s="185"/>
    </row>
    <row r="38" spans="1:8" s="186" customFormat="1" ht="19.5" customHeight="1">
      <c r="A38" s="169"/>
      <c r="B38" s="327" t="s">
        <v>191</v>
      </c>
      <c r="C38" s="329">
        <f>2688+762</f>
        <v>3450</v>
      </c>
      <c r="D38" s="329"/>
      <c r="E38" s="329"/>
      <c r="F38" s="329">
        <f t="shared" si="0"/>
        <v>3450</v>
      </c>
      <c r="H38" s="185"/>
    </row>
    <row r="39" spans="1:8" s="186" customFormat="1" ht="19.5" customHeight="1">
      <c r="A39" s="169"/>
      <c r="B39" s="327" t="s">
        <v>192</v>
      </c>
      <c r="C39" s="329">
        <f>5205+7038</f>
        <v>12243</v>
      </c>
      <c r="D39" s="329"/>
      <c r="E39" s="329"/>
      <c r="F39" s="329">
        <f t="shared" si="0"/>
        <v>12243</v>
      </c>
      <c r="H39" s="185"/>
    </row>
    <row r="40" spans="1:8" s="186" customFormat="1" ht="19.5" customHeight="1">
      <c r="A40" s="169"/>
      <c r="B40" s="327" t="s">
        <v>193</v>
      </c>
      <c r="C40" s="329">
        <f>7163+4677</f>
        <v>11840</v>
      </c>
      <c r="D40" s="329"/>
      <c r="E40" s="329"/>
      <c r="F40" s="329">
        <f t="shared" si="0"/>
        <v>11840</v>
      </c>
      <c r="H40" s="185"/>
    </row>
    <row r="41" spans="1:8" s="186" customFormat="1" ht="19.5" customHeight="1">
      <c r="A41" s="169"/>
      <c r="B41" s="327" t="s">
        <v>194</v>
      </c>
      <c r="C41" s="329">
        <f>2946+2646</f>
        <v>5592</v>
      </c>
      <c r="D41" s="329"/>
      <c r="E41" s="329"/>
      <c r="F41" s="329">
        <f t="shared" si="0"/>
        <v>5592</v>
      </c>
      <c r="H41" s="185"/>
    </row>
    <row r="42" spans="1:8" s="186" customFormat="1" ht="19.5" customHeight="1">
      <c r="A42" s="169"/>
      <c r="B42" s="327" t="s">
        <v>195</v>
      </c>
      <c r="C42" s="329">
        <f>224+768</f>
        <v>992</v>
      </c>
      <c r="D42" s="329"/>
      <c r="E42" s="329"/>
      <c r="F42" s="329">
        <f t="shared" si="0"/>
        <v>992</v>
      </c>
      <c r="H42" s="185"/>
    </row>
    <row r="43" spans="1:8" s="186" customFormat="1" ht="19.5" customHeight="1">
      <c r="A43" s="169"/>
      <c r="B43" s="327" t="s">
        <v>196</v>
      </c>
      <c r="C43" s="329">
        <f>12756+11025</f>
        <v>23781</v>
      </c>
      <c r="D43" s="329"/>
      <c r="E43" s="329"/>
      <c r="F43" s="329">
        <f t="shared" si="0"/>
        <v>23781</v>
      </c>
      <c r="H43" s="185"/>
    </row>
    <row r="44" spans="1:8" s="186" customFormat="1" ht="19.5" customHeight="1">
      <c r="A44" s="169"/>
      <c r="B44" s="327" t="s">
        <v>197</v>
      </c>
      <c r="C44" s="329">
        <f>8311+9195</f>
        <v>17506</v>
      </c>
      <c r="D44" s="329"/>
      <c r="E44" s="329"/>
      <c r="F44" s="329">
        <f t="shared" si="0"/>
        <v>17506</v>
      </c>
      <c r="H44" s="185"/>
    </row>
    <row r="45" spans="1:8" s="186" customFormat="1" ht="19.5" customHeight="1">
      <c r="A45" s="169"/>
      <c r="B45" s="327" t="s">
        <v>198</v>
      </c>
      <c r="C45" s="329">
        <f>9722+7086</f>
        <v>16808</v>
      </c>
      <c r="D45" s="329"/>
      <c r="E45" s="329"/>
      <c r="F45" s="329">
        <f t="shared" si="0"/>
        <v>16808</v>
      </c>
      <c r="H45" s="185"/>
    </row>
    <row r="46" spans="1:8" s="186" customFormat="1" ht="19.5" customHeight="1">
      <c r="A46" s="169"/>
      <c r="B46" s="327" t="s">
        <v>199</v>
      </c>
      <c r="C46" s="329">
        <f>10550+6948</f>
        <v>17498</v>
      </c>
      <c r="D46" s="329"/>
      <c r="E46" s="329"/>
      <c r="F46" s="329">
        <f t="shared" si="0"/>
        <v>17498</v>
      </c>
      <c r="H46" s="185"/>
    </row>
    <row r="47" spans="1:8" s="186" customFormat="1" ht="19.5" customHeight="1">
      <c r="A47" s="169"/>
      <c r="B47" s="327" t="s">
        <v>200</v>
      </c>
      <c r="C47" s="329">
        <f>7392+4347</f>
        <v>11739</v>
      </c>
      <c r="D47" s="329"/>
      <c r="E47" s="329"/>
      <c r="F47" s="329">
        <f t="shared" si="0"/>
        <v>11739</v>
      </c>
      <c r="H47" s="185"/>
    </row>
    <row r="48" spans="1:8" s="186" customFormat="1" ht="19.5" customHeight="1">
      <c r="A48" s="353"/>
      <c r="B48" s="328" t="s">
        <v>201</v>
      </c>
      <c r="C48" s="354">
        <f>6573+12858</f>
        <v>19431</v>
      </c>
      <c r="D48" s="354"/>
      <c r="E48" s="354"/>
      <c r="F48" s="354">
        <f t="shared" si="0"/>
        <v>19431</v>
      </c>
      <c r="H48" s="185"/>
    </row>
    <row r="49" spans="1:8" s="186" customFormat="1" ht="19.5" customHeight="1">
      <c r="A49" s="169"/>
      <c r="B49" s="195" t="s">
        <v>202</v>
      </c>
      <c r="C49" s="352">
        <f>5633+3258</f>
        <v>8891</v>
      </c>
      <c r="D49" s="352"/>
      <c r="E49" s="352"/>
      <c r="F49" s="352">
        <f t="shared" si="0"/>
        <v>8891</v>
      </c>
      <c r="H49" s="185"/>
    </row>
    <row r="50" spans="1:8" s="186" customFormat="1" ht="19.5" customHeight="1">
      <c r="A50" s="169"/>
      <c r="B50" s="327" t="s">
        <v>203</v>
      </c>
      <c r="C50" s="329">
        <f>4893+4335</f>
        <v>9228</v>
      </c>
      <c r="D50" s="329"/>
      <c r="E50" s="329"/>
      <c r="F50" s="329">
        <f t="shared" si="0"/>
        <v>9228</v>
      </c>
      <c r="H50" s="185"/>
    </row>
    <row r="51" spans="1:8" s="186" customFormat="1" ht="19.5" customHeight="1">
      <c r="A51" s="169"/>
      <c r="B51" s="327" t="s">
        <v>204</v>
      </c>
      <c r="C51" s="329">
        <f>10587+7323</f>
        <v>17910</v>
      </c>
      <c r="D51" s="329"/>
      <c r="E51" s="329"/>
      <c r="F51" s="329">
        <f t="shared" si="0"/>
        <v>17910</v>
      </c>
      <c r="H51" s="185"/>
    </row>
    <row r="52" spans="1:8" s="186" customFormat="1" ht="19.5" customHeight="1">
      <c r="A52" s="169"/>
      <c r="B52" s="327" t="s">
        <v>205</v>
      </c>
      <c r="C52" s="329">
        <f>9442+11643</f>
        <v>21085</v>
      </c>
      <c r="D52" s="329"/>
      <c r="E52" s="329"/>
      <c r="F52" s="329">
        <f t="shared" si="0"/>
        <v>21085</v>
      </c>
      <c r="H52" s="185"/>
    </row>
    <row r="53" spans="1:8" s="186" customFormat="1" ht="19.5" customHeight="1">
      <c r="A53" s="169"/>
      <c r="B53" s="327" t="s">
        <v>206</v>
      </c>
      <c r="C53" s="329">
        <f>6407+9501</f>
        <v>15908</v>
      </c>
      <c r="D53" s="329"/>
      <c r="E53" s="329"/>
      <c r="F53" s="329">
        <f t="shared" si="0"/>
        <v>15908</v>
      </c>
      <c r="H53" s="185"/>
    </row>
    <row r="54" spans="1:8" s="186" customFormat="1" ht="19.5" customHeight="1">
      <c r="A54" s="169"/>
      <c r="B54" s="327" t="s">
        <v>207</v>
      </c>
      <c r="C54" s="329">
        <f>5667+5589</f>
        <v>11256</v>
      </c>
      <c r="D54" s="329"/>
      <c r="E54" s="329"/>
      <c r="F54" s="329">
        <f t="shared" si="0"/>
        <v>11256</v>
      </c>
      <c r="H54" s="185"/>
    </row>
    <row r="55" spans="1:8" s="186" customFormat="1" ht="19.5" customHeight="1">
      <c r="A55" s="169"/>
      <c r="B55" s="327" t="s">
        <v>208</v>
      </c>
      <c r="C55" s="329">
        <f>12464+11250</f>
        <v>23714</v>
      </c>
      <c r="D55" s="329"/>
      <c r="E55" s="329"/>
      <c r="F55" s="329">
        <f t="shared" si="0"/>
        <v>23714</v>
      </c>
      <c r="H55" s="185"/>
    </row>
    <row r="56" spans="1:8" s="186" customFormat="1" ht="19.5" customHeight="1">
      <c r="A56" s="169"/>
      <c r="B56" s="327" t="s">
        <v>209</v>
      </c>
      <c r="C56" s="329">
        <f>5880+5766</f>
        <v>11646</v>
      </c>
      <c r="D56" s="329"/>
      <c r="E56" s="329"/>
      <c r="F56" s="329">
        <f t="shared" si="0"/>
        <v>11646</v>
      </c>
      <c r="H56" s="185"/>
    </row>
    <row r="57" spans="1:8" s="186" customFormat="1" ht="19.5" customHeight="1">
      <c r="A57" s="169"/>
      <c r="B57" s="327" t="s">
        <v>210</v>
      </c>
      <c r="C57" s="329">
        <f>6551+9438</f>
        <v>15989</v>
      </c>
      <c r="D57" s="329"/>
      <c r="E57" s="329"/>
      <c r="F57" s="329">
        <f t="shared" si="0"/>
        <v>15989</v>
      </c>
      <c r="H57" s="185"/>
    </row>
    <row r="58" spans="1:8" s="186" customFormat="1" ht="19.5" customHeight="1">
      <c r="A58" s="169"/>
      <c r="B58" s="327" t="s">
        <v>211</v>
      </c>
      <c r="C58" s="329">
        <f>5400+3348</f>
        <v>8748</v>
      </c>
      <c r="D58" s="329"/>
      <c r="E58" s="329"/>
      <c r="F58" s="329">
        <f t="shared" si="0"/>
        <v>8748</v>
      </c>
      <c r="H58" s="185"/>
    </row>
    <row r="59" spans="1:8" s="186" customFormat="1" ht="19.5" customHeight="1">
      <c r="A59" s="169"/>
      <c r="B59" s="328" t="s">
        <v>212</v>
      </c>
      <c r="C59" s="329">
        <f>11349+9003</f>
        <v>20352</v>
      </c>
      <c r="D59" s="329"/>
      <c r="E59" s="329"/>
      <c r="F59" s="329">
        <f t="shared" si="0"/>
        <v>20352</v>
      </c>
      <c r="H59" s="185"/>
    </row>
    <row r="60" spans="1:8" s="186" customFormat="1" ht="19.5" customHeight="1">
      <c r="A60" s="169"/>
      <c r="B60" s="196" t="s">
        <v>1</v>
      </c>
      <c r="C60" s="329">
        <f>762+834</f>
        <v>1596</v>
      </c>
      <c r="D60" s="329"/>
      <c r="E60" s="329"/>
      <c r="F60" s="329">
        <f t="shared" si="0"/>
        <v>1596</v>
      </c>
      <c r="H60" s="185"/>
    </row>
    <row r="61" spans="1:8" s="186" customFormat="1" ht="19.5" customHeight="1">
      <c r="A61" s="169"/>
      <c r="B61" s="197" t="s">
        <v>6</v>
      </c>
      <c r="C61" s="329">
        <f>1643+1326</f>
        <v>2969</v>
      </c>
      <c r="D61" s="329"/>
      <c r="E61" s="329"/>
      <c r="F61" s="329">
        <f t="shared" si="0"/>
        <v>2969</v>
      </c>
      <c r="H61" s="185"/>
    </row>
    <row r="62" spans="1:8" s="186" customFormat="1" ht="19.5" customHeight="1">
      <c r="A62" s="169"/>
      <c r="B62" s="197" t="s">
        <v>15</v>
      </c>
      <c r="C62" s="329">
        <f>2016+834</f>
        <v>2850</v>
      </c>
      <c r="D62" s="329"/>
      <c r="E62" s="329"/>
      <c r="F62" s="329">
        <f t="shared" si="0"/>
        <v>2850</v>
      </c>
      <c r="H62" s="185"/>
    </row>
    <row r="63" spans="1:8" s="186" customFormat="1" ht="19.5" customHeight="1">
      <c r="A63" s="169"/>
      <c r="B63" s="197" t="s">
        <v>16</v>
      </c>
      <c r="C63" s="329">
        <f>2295+1668</f>
        <v>3963</v>
      </c>
      <c r="D63" s="329"/>
      <c r="E63" s="329"/>
      <c r="F63" s="329">
        <f t="shared" si="0"/>
        <v>3963</v>
      </c>
      <c r="H63" s="185"/>
    </row>
    <row r="64" spans="1:8" s="186" customFormat="1" ht="19.5" customHeight="1">
      <c r="A64" s="169"/>
      <c r="B64" s="197" t="s">
        <v>102</v>
      </c>
      <c r="C64" s="329">
        <f>2797+2181</f>
        <v>4978</v>
      </c>
      <c r="D64" s="329"/>
      <c r="E64" s="329"/>
      <c r="F64" s="329">
        <f t="shared" si="0"/>
        <v>4978</v>
      </c>
      <c r="H64" s="185"/>
    </row>
    <row r="65" spans="1:8" s="186" customFormat="1" ht="19.5" customHeight="1">
      <c r="A65" s="169"/>
      <c r="B65" s="197" t="s">
        <v>17</v>
      </c>
      <c r="C65" s="329">
        <f>2405+3126</f>
        <v>5531</v>
      </c>
      <c r="D65" s="329"/>
      <c r="E65" s="329"/>
      <c r="F65" s="329">
        <f t="shared" si="0"/>
        <v>5531</v>
      </c>
      <c r="H65" s="185"/>
    </row>
    <row r="66" spans="1:8" s="186" customFormat="1" ht="19.5" customHeight="1">
      <c r="A66" s="169"/>
      <c r="B66" s="197" t="s">
        <v>18</v>
      </c>
      <c r="C66" s="329">
        <f>4077+2832</f>
        <v>6909</v>
      </c>
      <c r="D66" s="329"/>
      <c r="E66" s="329"/>
      <c r="F66" s="329">
        <f t="shared" si="0"/>
        <v>6909</v>
      </c>
      <c r="H66" s="185"/>
    </row>
    <row r="67" spans="1:8" s="186" customFormat="1" ht="19.5" customHeight="1">
      <c r="A67" s="169"/>
      <c r="B67" s="197" t="s">
        <v>104</v>
      </c>
      <c r="C67" s="329">
        <f>3290+3042</f>
        <v>6332</v>
      </c>
      <c r="D67" s="329"/>
      <c r="E67" s="329"/>
      <c r="F67" s="329">
        <f t="shared" si="0"/>
        <v>6332</v>
      </c>
      <c r="H67" s="185"/>
    </row>
    <row r="68" spans="1:8" s="186" customFormat="1" ht="19.5" customHeight="1">
      <c r="A68" s="169"/>
      <c r="B68" s="197" t="s">
        <v>19</v>
      </c>
      <c r="C68" s="329">
        <f>788+3618</f>
        <v>4406</v>
      </c>
      <c r="D68" s="329"/>
      <c r="E68" s="329"/>
      <c r="F68" s="329">
        <f t="shared" si="0"/>
        <v>4406</v>
      </c>
      <c r="H68" s="185"/>
    </row>
    <row r="69" spans="1:8" s="186" customFormat="1" ht="19.5" customHeight="1">
      <c r="A69" s="169"/>
      <c r="B69" s="197" t="s">
        <v>109</v>
      </c>
      <c r="C69" s="329">
        <f>7892+6279</f>
        <v>14171</v>
      </c>
      <c r="D69" s="329"/>
      <c r="E69" s="329"/>
      <c r="F69" s="329">
        <f t="shared" si="0"/>
        <v>14171</v>
      </c>
      <c r="H69" s="185"/>
    </row>
    <row r="70" spans="1:8" s="186" customFormat="1" ht="19.5" customHeight="1">
      <c r="A70" s="169"/>
      <c r="B70" s="197" t="s">
        <v>110</v>
      </c>
      <c r="C70" s="329">
        <f>5584+9975</f>
        <v>15559</v>
      </c>
      <c r="D70" s="329"/>
      <c r="E70" s="329"/>
      <c r="F70" s="329">
        <f t="shared" si="0"/>
        <v>15559</v>
      </c>
      <c r="H70" s="185"/>
    </row>
    <row r="71" spans="1:8" s="186" customFormat="1" ht="19.5" customHeight="1">
      <c r="A71" s="169"/>
      <c r="B71" s="197" t="s">
        <v>111</v>
      </c>
      <c r="C71" s="329">
        <f>12950+17256</f>
        <v>30206</v>
      </c>
      <c r="D71" s="329"/>
      <c r="E71" s="329"/>
      <c r="F71" s="329">
        <f t="shared" si="0"/>
        <v>30206</v>
      </c>
      <c r="H71" s="185"/>
    </row>
    <row r="72" spans="1:8" s="186" customFormat="1" ht="19.5" customHeight="1">
      <c r="A72" s="169"/>
      <c r="B72" s="197" t="s">
        <v>112</v>
      </c>
      <c r="C72" s="329">
        <f>3430+11763</f>
        <v>15193</v>
      </c>
      <c r="D72" s="329"/>
      <c r="E72" s="329"/>
      <c r="F72" s="329">
        <f t="shared" si="0"/>
        <v>15193</v>
      </c>
      <c r="H72" s="185"/>
    </row>
    <row r="73" spans="1:8" s="186" customFormat="1" ht="19.5" customHeight="1">
      <c r="A73" s="169"/>
      <c r="B73" s="197" t="s">
        <v>113</v>
      </c>
      <c r="C73" s="329">
        <f>5399+13179</f>
        <v>18578</v>
      </c>
      <c r="D73" s="329"/>
      <c r="E73" s="329"/>
      <c r="F73" s="329">
        <f aca="true" t="shared" si="1" ref="F73:F95">SUM(C73:E73)</f>
        <v>18578</v>
      </c>
      <c r="H73" s="185"/>
    </row>
    <row r="74" spans="1:8" s="186" customFormat="1" ht="19.5" customHeight="1">
      <c r="A74" s="169"/>
      <c r="B74" s="327" t="s">
        <v>106</v>
      </c>
      <c r="C74" s="329">
        <f>6249+7731</f>
        <v>13980</v>
      </c>
      <c r="D74" s="329"/>
      <c r="E74" s="329"/>
      <c r="F74" s="329">
        <f t="shared" si="1"/>
        <v>13980</v>
      </c>
      <c r="H74" s="185"/>
    </row>
    <row r="75" spans="1:8" s="186" customFormat="1" ht="19.5" customHeight="1">
      <c r="A75" s="169"/>
      <c r="B75" s="327" t="s">
        <v>10</v>
      </c>
      <c r="C75" s="329">
        <f>2778+2916</f>
        <v>5694</v>
      </c>
      <c r="D75" s="329"/>
      <c r="E75" s="329"/>
      <c r="F75" s="329">
        <f t="shared" si="1"/>
        <v>5694</v>
      </c>
      <c r="H75" s="185"/>
    </row>
    <row r="76" spans="1:8" s="186" customFormat="1" ht="19.5" customHeight="1">
      <c r="A76" s="169"/>
      <c r="B76" s="327" t="s">
        <v>213</v>
      </c>
      <c r="C76" s="329">
        <f>15890+4134</f>
        <v>20024</v>
      </c>
      <c r="D76" s="329"/>
      <c r="E76" s="329"/>
      <c r="F76" s="329">
        <f t="shared" si="1"/>
        <v>20024</v>
      </c>
      <c r="H76" s="185"/>
    </row>
    <row r="77" spans="1:8" s="186" customFormat="1" ht="19.5" customHeight="1">
      <c r="A77" s="169"/>
      <c r="B77" s="327" t="s">
        <v>147</v>
      </c>
      <c r="C77" s="329">
        <v>25051</v>
      </c>
      <c r="D77" s="329"/>
      <c r="E77" s="329"/>
      <c r="F77" s="329">
        <f t="shared" si="1"/>
        <v>25051</v>
      </c>
      <c r="H77" s="185"/>
    </row>
    <row r="78" spans="1:8" s="186" customFormat="1" ht="19.5" customHeight="1">
      <c r="A78" s="169"/>
      <c r="B78" s="197" t="s">
        <v>11</v>
      </c>
      <c r="C78" s="329">
        <v>21359</v>
      </c>
      <c r="D78" s="329"/>
      <c r="E78" s="329"/>
      <c r="F78" s="329">
        <f t="shared" si="1"/>
        <v>21359</v>
      </c>
      <c r="H78" s="185"/>
    </row>
    <row r="79" spans="1:8" s="186" customFormat="1" ht="19.5" customHeight="1">
      <c r="A79" s="169"/>
      <c r="B79" s="197" t="s">
        <v>49</v>
      </c>
      <c r="C79" s="329">
        <v>11616</v>
      </c>
      <c r="D79" s="329"/>
      <c r="E79" s="329"/>
      <c r="F79" s="329">
        <f t="shared" si="1"/>
        <v>11616</v>
      </c>
      <c r="H79" s="185"/>
    </row>
    <row r="80" spans="1:8" s="186" customFormat="1" ht="19.5" customHeight="1">
      <c r="A80" s="169"/>
      <c r="B80" s="197" t="s">
        <v>12</v>
      </c>
      <c r="C80" s="329">
        <v>9518</v>
      </c>
      <c r="D80" s="329"/>
      <c r="E80" s="329"/>
      <c r="F80" s="329">
        <f t="shared" si="1"/>
        <v>9518</v>
      </c>
      <c r="H80" s="185"/>
    </row>
    <row r="81" spans="1:8" s="186" customFormat="1" ht="19.5" customHeight="1">
      <c r="A81" s="169"/>
      <c r="B81" s="197" t="s">
        <v>50</v>
      </c>
      <c r="C81" s="329">
        <v>18258</v>
      </c>
      <c r="D81" s="329"/>
      <c r="E81" s="329"/>
      <c r="F81" s="329">
        <f t="shared" si="1"/>
        <v>18258</v>
      </c>
      <c r="H81" s="185"/>
    </row>
    <row r="82" spans="1:8" s="186" customFormat="1" ht="19.5" customHeight="1">
      <c r="A82" s="169"/>
      <c r="B82" s="197" t="s">
        <v>47</v>
      </c>
      <c r="C82" s="329">
        <v>6595</v>
      </c>
      <c r="D82" s="329"/>
      <c r="E82" s="329"/>
      <c r="F82" s="329">
        <f t="shared" si="1"/>
        <v>6595</v>
      </c>
      <c r="H82" s="185"/>
    </row>
    <row r="83" spans="1:8" s="186" customFormat="1" ht="19.5" customHeight="1">
      <c r="A83" s="169"/>
      <c r="B83" s="197" t="s">
        <v>14</v>
      </c>
      <c r="C83" s="329">
        <v>23728</v>
      </c>
      <c r="D83" s="329"/>
      <c r="E83" s="329"/>
      <c r="F83" s="329">
        <f t="shared" si="1"/>
        <v>23728</v>
      </c>
      <c r="H83" s="185"/>
    </row>
    <row r="84" spans="1:8" s="186" customFormat="1" ht="19.5" customHeight="1">
      <c r="A84" s="169"/>
      <c r="B84" s="197" t="s">
        <v>40</v>
      </c>
      <c r="C84" s="329">
        <v>3601</v>
      </c>
      <c r="D84" s="329"/>
      <c r="E84" s="329"/>
      <c r="F84" s="329">
        <f t="shared" si="1"/>
        <v>3601</v>
      </c>
      <c r="H84" s="185"/>
    </row>
    <row r="85" spans="1:8" s="186" customFormat="1" ht="19.5" customHeight="1">
      <c r="A85" s="169"/>
      <c r="B85" s="197" t="s">
        <v>41</v>
      </c>
      <c r="C85" s="329">
        <v>9719</v>
      </c>
      <c r="D85" s="329"/>
      <c r="E85" s="329"/>
      <c r="F85" s="329">
        <f t="shared" si="1"/>
        <v>9719</v>
      </c>
      <c r="H85" s="185"/>
    </row>
    <row r="86" spans="1:8" s="186" customFormat="1" ht="19.5" customHeight="1">
      <c r="A86" s="169"/>
      <c r="B86" s="197" t="s">
        <v>13</v>
      </c>
      <c r="C86" s="329">
        <v>13360</v>
      </c>
      <c r="D86" s="329"/>
      <c r="E86" s="329"/>
      <c r="F86" s="329">
        <f t="shared" si="1"/>
        <v>13360</v>
      </c>
      <c r="H86" s="185"/>
    </row>
    <row r="87" spans="1:8" s="186" customFormat="1" ht="19.5" customHeight="1">
      <c r="A87" s="169"/>
      <c r="B87" s="197" t="s">
        <v>42</v>
      </c>
      <c r="C87" s="329">
        <v>11481</v>
      </c>
      <c r="D87" s="329"/>
      <c r="E87" s="329"/>
      <c r="F87" s="329">
        <f t="shared" si="1"/>
        <v>11481</v>
      </c>
      <c r="H87" s="185"/>
    </row>
    <row r="88" spans="1:8" s="186" customFormat="1" ht="19.5" customHeight="1">
      <c r="A88" s="169"/>
      <c r="B88" s="197" t="s">
        <v>9</v>
      </c>
      <c r="C88" s="329">
        <v>8552</v>
      </c>
      <c r="D88" s="329"/>
      <c r="E88" s="329"/>
      <c r="F88" s="329">
        <f t="shared" si="1"/>
        <v>8552</v>
      </c>
      <c r="H88" s="185"/>
    </row>
    <row r="89" spans="1:8" s="186" customFormat="1" ht="19.5" customHeight="1">
      <c r="A89" s="169"/>
      <c r="B89" s="327" t="s">
        <v>214</v>
      </c>
      <c r="C89" s="329">
        <v>2483</v>
      </c>
      <c r="D89" s="329"/>
      <c r="E89" s="329"/>
      <c r="F89" s="329">
        <f t="shared" si="1"/>
        <v>2483</v>
      </c>
      <c r="H89" s="185"/>
    </row>
    <row r="90" spans="1:8" s="186" customFormat="1" ht="19.5" customHeight="1">
      <c r="A90" s="353"/>
      <c r="B90" s="328" t="s">
        <v>215</v>
      </c>
      <c r="C90" s="354">
        <v>19370</v>
      </c>
      <c r="D90" s="354"/>
      <c r="E90" s="354"/>
      <c r="F90" s="354">
        <f t="shared" si="1"/>
        <v>19370</v>
      </c>
      <c r="H90" s="185"/>
    </row>
    <row r="91" spans="1:8" s="186" customFormat="1" ht="19.5" customHeight="1">
      <c r="A91" s="169"/>
      <c r="B91" s="195" t="s">
        <v>216</v>
      </c>
      <c r="C91" s="352">
        <v>2123</v>
      </c>
      <c r="D91" s="352"/>
      <c r="E91" s="352"/>
      <c r="F91" s="352">
        <f t="shared" si="1"/>
        <v>2123</v>
      </c>
      <c r="H91" s="185"/>
    </row>
    <row r="92" spans="1:8" s="186" customFormat="1" ht="19.5" customHeight="1">
      <c r="A92" s="169"/>
      <c r="B92" s="328" t="s">
        <v>217</v>
      </c>
      <c r="C92" s="329">
        <v>1560</v>
      </c>
      <c r="D92" s="329"/>
      <c r="E92" s="329"/>
      <c r="F92" s="329">
        <f t="shared" si="1"/>
        <v>1560</v>
      </c>
      <c r="H92" s="185"/>
    </row>
    <row r="93" spans="1:8" s="186" customFormat="1" ht="24.75" customHeight="1">
      <c r="A93" s="169"/>
      <c r="B93" s="192" t="s">
        <v>148</v>
      </c>
      <c r="C93" s="329">
        <v>362</v>
      </c>
      <c r="D93" s="329"/>
      <c r="E93" s="329"/>
      <c r="F93" s="329">
        <f t="shared" si="1"/>
        <v>362</v>
      </c>
      <c r="H93" s="185"/>
    </row>
    <row r="94" spans="1:8" s="186" customFormat="1" ht="28.5" customHeight="1">
      <c r="A94" s="169"/>
      <c r="B94" s="192" t="s">
        <v>149</v>
      </c>
      <c r="C94" s="329">
        <v>78</v>
      </c>
      <c r="D94" s="329"/>
      <c r="E94" s="329"/>
      <c r="F94" s="329">
        <f t="shared" si="1"/>
        <v>78</v>
      </c>
      <c r="H94" s="185"/>
    </row>
    <row r="95" spans="1:8" s="186" customFormat="1" ht="19.5" customHeight="1">
      <c r="A95" s="169"/>
      <c r="B95" s="327" t="s">
        <v>218</v>
      </c>
      <c r="C95" s="329">
        <v>224</v>
      </c>
      <c r="D95" s="329"/>
      <c r="E95" s="329"/>
      <c r="F95" s="329">
        <f t="shared" si="1"/>
        <v>224</v>
      </c>
      <c r="H95" s="185"/>
    </row>
    <row r="96" spans="1:8" s="332" customFormat="1" ht="25.5" customHeight="1" thickBot="1">
      <c r="A96" s="326"/>
      <c r="B96" s="330" t="s">
        <v>52</v>
      </c>
      <c r="C96" s="331"/>
      <c r="D96" s="331">
        <f>D97</f>
        <v>485877</v>
      </c>
      <c r="E96" s="331">
        <f>E97</f>
        <v>228123</v>
      </c>
      <c r="F96" s="331">
        <f>F97</f>
        <v>714000</v>
      </c>
      <c r="H96" s="333"/>
    </row>
    <row r="97" spans="1:8" s="135" customFormat="1" ht="18" customHeight="1" thickBot="1" thickTop="1">
      <c r="A97" s="176"/>
      <c r="B97" s="321" t="s">
        <v>28</v>
      </c>
      <c r="C97" s="325"/>
      <c r="D97" s="322">
        <f>D98</f>
        <v>485877</v>
      </c>
      <c r="E97" s="322">
        <f>E98</f>
        <v>228123</v>
      </c>
      <c r="F97" s="323">
        <f>SUM(D97:E97)</f>
        <v>714000</v>
      </c>
      <c r="G97" s="174"/>
      <c r="H97" s="175"/>
    </row>
    <row r="98" spans="1:7" s="181" customFormat="1" ht="19.5" customHeight="1" thickBot="1">
      <c r="A98" s="180">
        <v>80120</v>
      </c>
      <c r="B98" s="191" t="s">
        <v>48</v>
      </c>
      <c r="C98" s="191"/>
      <c r="D98" s="187">
        <f>SUM(D99:D129)</f>
        <v>485877</v>
      </c>
      <c r="E98" s="187">
        <f>SUM(E99:E129)</f>
        <v>228123</v>
      </c>
      <c r="F98" s="187">
        <f aca="true" t="shared" si="2" ref="F98:F129">SUM(D98:E98)</f>
        <v>714000</v>
      </c>
      <c r="G98" s="177"/>
    </row>
    <row r="99" spans="1:7" s="181" customFormat="1" ht="18" customHeight="1">
      <c r="A99" s="178" t="s">
        <v>101</v>
      </c>
      <c r="B99" s="196" t="s">
        <v>1</v>
      </c>
      <c r="C99" s="196"/>
      <c r="D99" s="182">
        <v>5880</v>
      </c>
      <c r="E99" s="182">
        <v>2760</v>
      </c>
      <c r="F99" s="183">
        <f t="shared" si="2"/>
        <v>8640</v>
      </c>
      <c r="G99" s="177"/>
    </row>
    <row r="100" spans="1:7" s="181" customFormat="1" ht="18" customHeight="1">
      <c r="A100" s="179" t="s">
        <v>2</v>
      </c>
      <c r="B100" s="197" t="s">
        <v>6</v>
      </c>
      <c r="C100" s="197"/>
      <c r="D100" s="183">
        <v>11024</v>
      </c>
      <c r="E100" s="183">
        <v>5176</v>
      </c>
      <c r="F100" s="183">
        <f t="shared" si="2"/>
        <v>16200</v>
      </c>
      <c r="G100" s="177"/>
    </row>
    <row r="101" spans="1:7" s="181" customFormat="1" ht="18" customHeight="1">
      <c r="A101" s="179"/>
      <c r="B101" s="197" t="s">
        <v>15</v>
      </c>
      <c r="C101" s="197"/>
      <c r="D101" s="183">
        <v>12861</v>
      </c>
      <c r="E101" s="183">
        <v>6039</v>
      </c>
      <c r="F101" s="183">
        <f t="shared" si="2"/>
        <v>18900</v>
      </c>
      <c r="G101" s="177"/>
    </row>
    <row r="102" spans="1:7" s="181" customFormat="1" ht="18" customHeight="1">
      <c r="A102" s="179" t="s">
        <v>3</v>
      </c>
      <c r="B102" s="197" t="s">
        <v>16</v>
      </c>
      <c r="C102" s="197"/>
      <c r="D102" s="183">
        <v>25355</v>
      </c>
      <c r="E102" s="183">
        <v>11905</v>
      </c>
      <c r="F102" s="183">
        <f t="shared" si="2"/>
        <v>37260</v>
      </c>
      <c r="G102" s="177"/>
    </row>
    <row r="103" spans="1:7" s="181" customFormat="1" ht="18" customHeight="1">
      <c r="A103" s="179"/>
      <c r="B103" s="197" t="s">
        <v>102</v>
      </c>
      <c r="C103" s="197"/>
      <c r="D103" s="183">
        <v>14699</v>
      </c>
      <c r="E103" s="183">
        <v>6901</v>
      </c>
      <c r="F103" s="183">
        <f t="shared" si="2"/>
        <v>21600</v>
      </c>
      <c r="G103" s="177"/>
    </row>
    <row r="104" spans="1:7" s="181" customFormat="1" ht="18" customHeight="1">
      <c r="A104" s="179"/>
      <c r="B104" s="197" t="s">
        <v>17</v>
      </c>
      <c r="C104" s="197"/>
      <c r="D104" s="183">
        <v>10289</v>
      </c>
      <c r="E104" s="183">
        <v>4831</v>
      </c>
      <c r="F104" s="183">
        <f t="shared" si="2"/>
        <v>15120</v>
      </c>
      <c r="G104" s="177"/>
    </row>
    <row r="105" spans="1:7" s="181" customFormat="1" ht="18" customHeight="1">
      <c r="A105" s="179" t="s">
        <v>4</v>
      </c>
      <c r="B105" s="197" t="s">
        <v>18</v>
      </c>
      <c r="C105" s="197"/>
      <c r="D105" s="183">
        <v>13964</v>
      </c>
      <c r="E105" s="183">
        <v>6556</v>
      </c>
      <c r="F105" s="183">
        <f t="shared" si="2"/>
        <v>20520</v>
      </c>
      <c r="G105" s="177"/>
    </row>
    <row r="106" spans="1:7" s="181" customFormat="1" ht="18" customHeight="1">
      <c r="A106" s="179" t="s">
        <v>103</v>
      </c>
      <c r="B106" s="197" t="s">
        <v>104</v>
      </c>
      <c r="C106" s="197"/>
      <c r="D106" s="183">
        <v>6615</v>
      </c>
      <c r="E106" s="183">
        <v>3105</v>
      </c>
      <c r="F106" s="183">
        <f t="shared" si="2"/>
        <v>9720</v>
      </c>
      <c r="G106" s="177"/>
    </row>
    <row r="107" spans="1:7" s="181" customFormat="1" ht="18" customHeight="1">
      <c r="A107" s="179" t="s">
        <v>5</v>
      </c>
      <c r="B107" s="197" t="s">
        <v>19</v>
      </c>
      <c r="C107" s="197"/>
      <c r="D107" s="183">
        <v>12494</v>
      </c>
      <c r="E107" s="183">
        <v>5866</v>
      </c>
      <c r="F107" s="183">
        <f t="shared" si="2"/>
        <v>18360</v>
      </c>
      <c r="G107" s="177"/>
    </row>
    <row r="108" spans="1:7" s="181" customFormat="1" ht="18" customHeight="1">
      <c r="A108" s="179"/>
      <c r="B108" s="197" t="s">
        <v>109</v>
      </c>
      <c r="C108" s="197"/>
      <c r="D108" s="183">
        <v>2940</v>
      </c>
      <c r="E108" s="183">
        <v>1380</v>
      </c>
      <c r="F108" s="183">
        <f t="shared" si="2"/>
        <v>4320</v>
      </c>
      <c r="G108" s="177"/>
    </row>
    <row r="109" spans="1:7" s="181" customFormat="1" ht="18" customHeight="1">
      <c r="A109" s="179"/>
      <c r="B109" s="197" t="s">
        <v>110</v>
      </c>
      <c r="C109" s="197"/>
      <c r="D109" s="183">
        <v>735</v>
      </c>
      <c r="E109" s="183">
        <v>345</v>
      </c>
      <c r="F109" s="183">
        <f t="shared" si="2"/>
        <v>1080</v>
      </c>
      <c r="G109" s="177"/>
    </row>
    <row r="110" spans="1:7" s="181" customFormat="1" ht="18" customHeight="1">
      <c r="A110" s="179"/>
      <c r="B110" s="197" t="s">
        <v>111</v>
      </c>
      <c r="C110" s="197"/>
      <c r="D110" s="183">
        <v>1837</v>
      </c>
      <c r="E110" s="183">
        <v>863</v>
      </c>
      <c r="F110" s="183">
        <f t="shared" si="2"/>
        <v>2700</v>
      </c>
      <c r="G110" s="177"/>
    </row>
    <row r="111" spans="1:7" s="181" customFormat="1" ht="18" customHeight="1">
      <c r="A111" s="179"/>
      <c r="B111" s="197" t="s">
        <v>112</v>
      </c>
      <c r="C111" s="197"/>
      <c r="D111" s="183">
        <v>3307</v>
      </c>
      <c r="E111" s="183">
        <v>1553</v>
      </c>
      <c r="F111" s="183">
        <f t="shared" si="2"/>
        <v>4860</v>
      </c>
      <c r="G111" s="177"/>
    </row>
    <row r="112" spans="1:7" s="181" customFormat="1" ht="18" customHeight="1">
      <c r="A112" s="179"/>
      <c r="B112" s="197" t="s">
        <v>113</v>
      </c>
      <c r="C112" s="197"/>
      <c r="D112" s="183">
        <v>2205</v>
      </c>
      <c r="E112" s="183">
        <v>1035</v>
      </c>
      <c r="F112" s="183">
        <f t="shared" si="2"/>
        <v>3240</v>
      </c>
      <c r="G112" s="177"/>
    </row>
    <row r="113" spans="1:7" s="181" customFormat="1" ht="18" customHeight="1">
      <c r="A113" s="179"/>
      <c r="B113" s="197" t="s">
        <v>50</v>
      </c>
      <c r="C113" s="197"/>
      <c r="D113" s="183">
        <v>44096</v>
      </c>
      <c r="E113" s="183">
        <v>20704</v>
      </c>
      <c r="F113" s="183">
        <f t="shared" si="2"/>
        <v>64800</v>
      </c>
      <c r="G113" s="177"/>
    </row>
    <row r="114" spans="1:7" s="181" customFormat="1" ht="18" customHeight="1">
      <c r="A114" s="179"/>
      <c r="B114" s="197" t="s">
        <v>47</v>
      </c>
      <c r="C114" s="197"/>
      <c r="D114" s="183">
        <v>6615</v>
      </c>
      <c r="E114" s="183">
        <v>3105</v>
      </c>
      <c r="F114" s="183">
        <f t="shared" si="2"/>
        <v>9720</v>
      </c>
      <c r="G114" s="177"/>
    </row>
    <row r="115" spans="1:7" s="181" customFormat="1" ht="18" customHeight="1">
      <c r="A115" s="179"/>
      <c r="B115" s="197" t="s">
        <v>14</v>
      </c>
      <c r="C115" s="197"/>
      <c r="D115" s="183">
        <v>35277</v>
      </c>
      <c r="E115" s="183">
        <v>16563</v>
      </c>
      <c r="F115" s="183">
        <f t="shared" si="2"/>
        <v>51840</v>
      </c>
      <c r="G115" s="177"/>
    </row>
    <row r="116" spans="1:7" s="181" customFormat="1" ht="18" customHeight="1">
      <c r="A116" s="179"/>
      <c r="B116" s="197" t="s">
        <v>40</v>
      </c>
      <c r="C116" s="197"/>
      <c r="D116" s="183">
        <v>735</v>
      </c>
      <c r="E116" s="183">
        <v>345</v>
      </c>
      <c r="F116" s="183">
        <f t="shared" si="2"/>
        <v>1080</v>
      </c>
      <c r="G116" s="177"/>
    </row>
    <row r="117" spans="1:7" s="181" customFormat="1" ht="18" customHeight="1">
      <c r="A117" s="179"/>
      <c r="B117" s="197" t="s">
        <v>10</v>
      </c>
      <c r="C117" s="197"/>
      <c r="D117" s="183">
        <v>15801</v>
      </c>
      <c r="E117" s="183">
        <v>7419</v>
      </c>
      <c r="F117" s="183">
        <f t="shared" si="2"/>
        <v>23220</v>
      </c>
      <c r="G117" s="177"/>
    </row>
    <row r="118" spans="1:7" s="181" customFormat="1" ht="18" customHeight="1">
      <c r="A118" s="179"/>
      <c r="B118" s="197" t="s">
        <v>11</v>
      </c>
      <c r="C118" s="197"/>
      <c r="D118" s="183">
        <v>44096</v>
      </c>
      <c r="E118" s="183">
        <v>20704</v>
      </c>
      <c r="F118" s="183">
        <f t="shared" si="2"/>
        <v>64800</v>
      </c>
      <c r="G118" s="177"/>
    </row>
    <row r="119" spans="1:7" s="181" customFormat="1" ht="18" customHeight="1">
      <c r="A119" s="179"/>
      <c r="B119" s="197" t="s">
        <v>49</v>
      </c>
      <c r="C119" s="197"/>
      <c r="D119" s="183">
        <v>25355</v>
      </c>
      <c r="E119" s="183">
        <v>11905</v>
      </c>
      <c r="F119" s="183">
        <f t="shared" si="2"/>
        <v>37260</v>
      </c>
      <c r="G119" s="177"/>
    </row>
    <row r="120" spans="1:7" s="181" customFormat="1" ht="18" customHeight="1">
      <c r="A120" s="179"/>
      <c r="B120" s="197" t="s">
        <v>12</v>
      </c>
      <c r="C120" s="197"/>
      <c r="D120" s="183">
        <v>16536</v>
      </c>
      <c r="E120" s="183">
        <v>7764</v>
      </c>
      <c r="F120" s="183">
        <f t="shared" si="2"/>
        <v>24300</v>
      </c>
      <c r="G120" s="177"/>
    </row>
    <row r="121" spans="1:7" s="181" customFormat="1" ht="18" customHeight="1">
      <c r="A121" s="179"/>
      <c r="B121" s="197" t="s">
        <v>41</v>
      </c>
      <c r="C121" s="197"/>
      <c r="D121" s="183">
        <v>9922</v>
      </c>
      <c r="E121" s="183">
        <v>4658</v>
      </c>
      <c r="F121" s="183">
        <f t="shared" si="2"/>
        <v>14580</v>
      </c>
      <c r="G121" s="177"/>
    </row>
    <row r="122" spans="1:7" s="181" customFormat="1" ht="18" customHeight="1">
      <c r="A122" s="179"/>
      <c r="B122" s="197" t="s">
        <v>147</v>
      </c>
      <c r="C122" s="197"/>
      <c r="D122" s="183">
        <v>48731</v>
      </c>
      <c r="E122" s="183">
        <v>22879</v>
      </c>
      <c r="F122" s="183">
        <f t="shared" si="2"/>
        <v>71610</v>
      </c>
      <c r="G122" s="177"/>
    </row>
    <row r="123" spans="1:7" s="181" customFormat="1" ht="18" customHeight="1">
      <c r="A123" s="179" t="s">
        <v>7</v>
      </c>
      <c r="B123" s="197" t="s">
        <v>13</v>
      </c>
      <c r="C123" s="197"/>
      <c r="D123" s="183">
        <v>19108</v>
      </c>
      <c r="E123" s="183">
        <v>8972</v>
      </c>
      <c r="F123" s="183">
        <f t="shared" si="2"/>
        <v>28080</v>
      </c>
      <c r="G123" s="177"/>
    </row>
    <row r="124" spans="1:7" s="181" customFormat="1" ht="18" customHeight="1">
      <c r="A124" s="179"/>
      <c r="B124" s="197" t="s">
        <v>42</v>
      </c>
      <c r="C124" s="197"/>
      <c r="D124" s="183">
        <v>15066</v>
      </c>
      <c r="E124" s="183">
        <v>7074</v>
      </c>
      <c r="F124" s="183">
        <f t="shared" si="2"/>
        <v>22140</v>
      </c>
      <c r="G124" s="177"/>
    </row>
    <row r="125" spans="1:7" s="181" customFormat="1" ht="18" customHeight="1">
      <c r="A125" s="179"/>
      <c r="B125" s="197" t="s">
        <v>9</v>
      </c>
      <c r="C125" s="197"/>
      <c r="D125" s="183">
        <v>12861</v>
      </c>
      <c r="E125" s="183">
        <v>6039</v>
      </c>
      <c r="F125" s="183">
        <f t="shared" si="2"/>
        <v>18900</v>
      </c>
      <c r="G125" s="177"/>
    </row>
    <row r="126" spans="1:7" s="181" customFormat="1" ht="16.5" customHeight="1">
      <c r="A126" s="179" t="s">
        <v>8</v>
      </c>
      <c r="B126" s="197" t="s">
        <v>0</v>
      </c>
      <c r="C126" s="197"/>
      <c r="D126" s="183">
        <v>45791</v>
      </c>
      <c r="E126" s="183">
        <v>21499</v>
      </c>
      <c r="F126" s="183">
        <f t="shared" si="2"/>
        <v>67290</v>
      </c>
      <c r="G126" s="177"/>
    </row>
    <row r="127" spans="1:7" s="181" customFormat="1" ht="18" customHeight="1">
      <c r="A127" s="179" t="s">
        <v>105</v>
      </c>
      <c r="B127" s="197" t="s">
        <v>106</v>
      </c>
      <c r="C127" s="197"/>
      <c r="D127" s="183">
        <v>16904</v>
      </c>
      <c r="E127" s="183">
        <v>7936</v>
      </c>
      <c r="F127" s="183">
        <f t="shared" si="2"/>
        <v>24840</v>
      </c>
      <c r="G127" s="177"/>
    </row>
    <row r="128" spans="1:7" s="181" customFormat="1" ht="26.25" customHeight="1">
      <c r="A128" s="179"/>
      <c r="B128" s="355" t="s">
        <v>148</v>
      </c>
      <c r="C128" s="355"/>
      <c r="D128" s="183">
        <v>4410</v>
      </c>
      <c r="E128" s="183">
        <v>2070</v>
      </c>
      <c r="F128" s="183">
        <f t="shared" si="2"/>
        <v>6480</v>
      </c>
      <c r="G128" s="177"/>
    </row>
    <row r="129" spans="1:7" s="181" customFormat="1" ht="29.25" customHeight="1">
      <c r="A129" s="179"/>
      <c r="B129" s="192" t="s">
        <v>149</v>
      </c>
      <c r="C129" s="192"/>
      <c r="D129" s="183">
        <v>368</v>
      </c>
      <c r="E129" s="183">
        <v>172</v>
      </c>
      <c r="F129" s="183">
        <f t="shared" si="2"/>
        <v>540</v>
      </c>
      <c r="G129" s="177"/>
    </row>
    <row r="133" ht="12.75">
      <c r="B133" s="171" t="s">
        <v>236</v>
      </c>
    </row>
    <row r="134" ht="12.75">
      <c r="B134" s="171" t="s">
        <v>237</v>
      </c>
    </row>
    <row r="135" ht="12.75">
      <c r="B135" s="171" t="s">
        <v>238</v>
      </c>
    </row>
  </sheetData>
  <printOptions horizontalCentered="1"/>
  <pageMargins left="0.3937007874015748" right="0.3937007874015748" top="0.66" bottom="0.5905511811023623" header="0.5118110236220472" footer="0.5118110236220472"/>
  <pageSetup firstPageNumber="16" useFirstPageNumber="1" horizontalDpi="600" verticalDpi="600" orientation="portrait" paperSize="9" scale="8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75" workbookViewId="0" topLeftCell="A1">
      <selection activeCell="C4" sqref="C4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52.75390625" style="0" customWidth="1"/>
    <col min="4" max="4" width="16.75390625" style="0" customWidth="1"/>
    <col min="5" max="8" width="13.75390625" style="0" customWidth="1"/>
    <col min="9" max="9" width="13.125" style="0" customWidth="1"/>
    <col min="10" max="16384" width="11.375" style="0" customWidth="1"/>
  </cols>
  <sheetData>
    <row r="1" spans="1:8" ht="15.75" customHeight="1">
      <c r="A1" s="68"/>
      <c r="B1" s="68"/>
      <c r="C1" s="68"/>
      <c r="D1" s="68"/>
      <c r="E1" s="69"/>
      <c r="F1" s="69"/>
      <c r="G1" s="70" t="s">
        <v>74</v>
      </c>
      <c r="H1" s="69"/>
    </row>
    <row r="2" spans="1:8" ht="15.75" customHeight="1">
      <c r="A2" s="68"/>
      <c r="B2" s="71"/>
      <c r="C2" s="68"/>
      <c r="D2" s="68"/>
      <c r="E2" s="69"/>
      <c r="F2" s="69"/>
      <c r="G2" s="1" t="s">
        <v>229</v>
      </c>
      <c r="H2" s="69"/>
    </row>
    <row r="3" spans="1:8" ht="15.75" customHeight="1">
      <c r="A3" s="68"/>
      <c r="B3" s="68"/>
      <c r="C3" s="72" t="s">
        <v>128</v>
      </c>
      <c r="D3" s="68"/>
      <c r="E3" s="69"/>
      <c r="F3" s="68"/>
      <c r="G3" s="1" t="s">
        <v>85</v>
      </c>
      <c r="H3" s="69"/>
    </row>
    <row r="4" spans="1:8" ht="15.75" customHeight="1">
      <c r="A4" s="68"/>
      <c r="B4" s="68"/>
      <c r="C4" s="68"/>
      <c r="D4" s="68"/>
      <c r="E4" s="69"/>
      <c r="F4" s="68"/>
      <c r="G4" s="1" t="s">
        <v>224</v>
      </c>
      <c r="H4" s="69"/>
    </row>
    <row r="5" spans="1:8" ht="10.5" customHeight="1">
      <c r="A5" s="68"/>
      <c r="B5" s="68"/>
      <c r="C5" s="71"/>
      <c r="D5" s="69"/>
      <c r="E5" s="69"/>
      <c r="F5" s="69"/>
      <c r="G5" s="69"/>
      <c r="H5" s="69"/>
    </row>
    <row r="6" spans="1:8" ht="13.5" thickBot="1">
      <c r="A6" s="68"/>
      <c r="B6" s="68"/>
      <c r="C6" s="71"/>
      <c r="D6" s="69"/>
      <c r="E6" s="73"/>
      <c r="F6" s="73"/>
      <c r="G6" s="73"/>
      <c r="H6" s="74" t="s">
        <v>87</v>
      </c>
    </row>
    <row r="7" spans="1:8" ht="44.25" customHeight="1" thickBot="1" thickTop="1">
      <c r="A7" s="75" t="s">
        <v>63</v>
      </c>
      <c r="B7" s="129" t="s">
        <v>78</v>
      </c>
      <c r="C7" s="128" t="s">
        <v>135</v>
      </c>
      <c r="D7" s="76" t="s">
        <v>136</v>
      </c>
      <c r="E7" s="77" t="s">
        <v>79</v>
      </c>
      <c r="F7" s="77" t="s">
        <v>80</v>
      </c>
      <c r="G7" s="77" t="s">
        <v>81</v>
      </c>
      <c r="H7" s="77" t="s">
        <v>82</v>
      </c>
    </row>
    <row r="8" spans="1:8" ht="18" customHeight="1" thickBot="1" thickTop="1">
      <c r="A8" s="78">
        <v>1</v>
      </c>
      <c r="B8" s="79">
        <v>2</v>
      </c>
      <c r="C8" s="13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</row>
    <row r="9" spans="1:9" ht="24" customHeight="1" thickBot="1" thickTop="1">
      <c r="A9" s="81"/>
      <c r="B9" s="82"/>
      <c r="C9" s="83" t="s">
        <v>83</v>
      </c>
      <c r="D9" s="84">
        <f>SUM(E9:H9)</f>
        <v>780274129</v>
      </c>
      <c r="E9" s="85">
        <v>198181909</v>
      </c>
      <c r="F9" s="85">
        <v>202618585</v>
      </c>
      <c r="G9" s="85">
        <v>191286559</v>
      </c>
      <c r="H9" s="85">
        <f>186839788+H16+H21</f>
        <v>188187076</v>
      </c>
      <c r="I9" s="60"/>
    </row>
    <row r="10" spans="1:8" ht="22.5" customHeight="1" thickBot="1" thickTop="1">
      <c r="A10" s="86"/>
      <c r="B10" s="87"/>
      <c r="C10" s="88" t="s">
        <v>67</v>
      </c>
      <c r="D10" s="89">
        <f aca="true" t="shared" si="0" ref="D10:D20">SUM(E10:H10)</f>
        <v>766686569</v>
      </c>
      <c r="E10" s="89">
        <v>194498067</v>
      </c>
      <c r="F10" s="89">
        <v>198885666</v>
      </c>
      <c r="G10" s="89">
        <v>188906942</v>
      </c>
      <c r="H10" s="89">
        <f>183048606+H16+H21</f>
        <v>184395894</v>
      </c>
    </row>
    <row r="11" spans="1:8" ht="20.25" customHeight="1" thickTop="1">
      <c r="A11" s="90"/>
      <c r="B11" s="91"/>
      <c r="C11" s="92" t="s">
        <v>68</v>
      </c>
      <c r="D11" s="93">
        <f t="shared" si="0"/>
        <v>694633469</v>
      </c>
      <c r="E11" s="93">
        <v>177693715</v>
      </c>
      <c r="F11" s="93">
        <v>174097918</v>
      </c>
      <c r="G11" s="93">
        <v>172033742</v>
      </c>
      <c r="H11" s="93">
        <f>169460806+H16+H21</f>
        <v>170808094</v>
      </c>
    </row>
    <row r="12" spans="1:8" ht="20.25" customHeight="1">
      <c r="A12" s="95"/>
      <c r="B12" s="95"/>
      <c r="C12" s="96" t="s">
        <v>220</v>
      </c>
      <c r="D12" s="97">
        <f>SUM(E12:H12)</f>
        <v>477105146</v>
      </c>
      <c r="E12" s="97">
        <v>119362461</v>
      </c>
      <c r="F12" s="97">
        <v>118474106</v>
      </c>
      <c r="G12" s="97">
        <v>120970833</v>
      </c>
      <c r="H12" s="97">
        <f>117772268+H16</f>
        <v>118297746</v>
      </c>
    </row>
    <row r="13" spans="1:8" ht="24" customHeight="1" thickBot="1">
      <c r="A13" s="144"/>
      <c r="B13" s="144"/>
      <c r="C13" s="36" t="s">
        <v>60</v>
      </c>
      <c r="D13" s="153">
        <f>SUM(E13:H13)</f>
        <v>11402849</v>
      </c>
      <c r="E13" s="153">
        <v>2584537</v>
      </c>
      <c r="F13" s="153">
        <v>3269143</v>
      </c>
      <c r="G13" s="153">
        <v>2050652</v>
      </c>
      <c r="H13" s="153">
        <f>2973039+H16</f>
        <v>3498517</v>
      </c>
    </row>
    <row r="14" spans="1:9" s="1" customFormat="1" ht="21" customHeight="1" thickTop="1">
      <c r="A14" s="66">
        <v>854</v>
      </c>
      <c r="B14" s="341"/>
      <c r="C14" s="342" t="s">
        <v>71</v>
      </c>
      <c r="D14" s="343">
        <f>SUM(E14:H14)</f>
        <v>1740690</v>
      </c>
      <c r="E14" s="343"/>
      <c r="F14" s="343">
        <v>729212</v>
      </c>
      <c r="G14" s="343">
        <v>243000</v>
      </c>
      <c r="H14" s="343">
        <f>243000+H16</f>
        <v>768478</v>
      </c>
      <c r="I14"/>
    </row>
    <row r="15" spans="1:9" s="25" customFormat="1" ht="18" customHeight="1">
      <c r="A15" s="337"/>
      <c r="B15" s="338">
        <v>85415</v>
      </c>
      <c r="C15" s="339" t="s">
        <v>97</v>
      </c>
      <c r="D15" s="340">
        <f>SUM(E15:H15)</f>
        <v>1215212</v>
      </c>
      <c r="E15" s="340"/>
      <c r="F15" s="340">
        <v>729212</v>
      </c>
      <c r="G15" s="340">
        <v>243000</v>
      </c>
      <c r="H15" s="340">
        <v>243000</v>
      </c>
      <c r="I15"/>
    </row>
    <row r="16" spans="1:9" s="25" customFormat="1" ht="18" customHeight="1">
      <c r="A16" s="38"/>
      <c r="B16" s="42"/>
      <c r="C16" s="335"/>
      <c r="D16" s="336">
        <f>SUM(E16:H16)</f>
        <v>525478</v>
      </c>
      <c r="E16" s="336"/>
      <c r="F16" s="336"/>
      <c r="G16" s="336"/>
      <c r="H16" s="336">
        <v>525478</v>
      </c>
      <c r="I16"/>
    </row>
    <row r="17" spans="1:8" ht="20.25" customHeight="1">
      <c r="A17" s="95"/>
      <c r="B17" s="95"/>
      <c r="C17" s="96" t="s">
        <v>72</v>
      </c>
      <c r="D17" s="97">
        <f t="shared" si="0"/>
        <v>217528323</v>
      </c>
      <c r="E17" s="97">
        <v>58331254</v>
      </c>
      <c r="F17" s="97">
        <v>55623812</v>
      </c>
      <c r="G17" s="97">
        <v>51062909</v>
      </c>
      <c r="H17" s="97">
        <f>51688538+H21</f>
        <v>52510348</v>
      </c>
    </row>
    <row r="18" spans="1:8" ht="30.75" customHeight="1" thickBot="1">
      <c r="A18" s="144"/>
      <c r="B18" s="144"/>
      <c r="C18" s="36" t="s">
        <v>132</v>
      </c>
      <c r="D18" s="153">
        <f t="shared" si="0"/>
        <v>5460423</v>
      </c>
      <c r="E18" s="153">
        <v>594500</v>
      </c>
      <c r="F18" s="153">
        <v>2280613</v>
      </c>
      <c r="G18" s="153">
        <v>749500</v>
      </c>
      <c r="H18" s="153">
        <f>1014000+H21</f>
        <v>1835810</v>
      </c>
    </row>
    <row r="19" spans="1:9" s="25" customFormat="1" ht="21" customHeight="1" thickTop="1">
      <c r="A19" s="233">
        <v>854</v>
      </c>
      <c r="B19" s="164"/>
      <c r="C19" s="234" t="s">
        <v>71</v>
      </c>
      <c r="D19" s="235">
        <f t="shared" si="0"/>
        <v>2507923</v>
      </c>
      <c r="E19" s="235"/>
      <c r="F19" s="235">
        <v>1686113</v>
      </c>
      <c r="G19" s="235"/>
      <c r="H19" s="235">
        <f>H21</f>
        <v>821810</v>
      </c>
      <c r="I19"/>
    </row>
    <row r="20" spans="1:9" s="1" customFormat="1" ht="21.75" customHeight="1">
      <c r="A20" s="344"/>
      <c r="B20" s="338">
        <v>85415</v>
      </c>
      <c r="C20" s="339" t="s">
        <v>97</v>
      </c>
      <c r="D20" s="340">
        <f t="shared" si="0"/>
        <v>1686113</v>
      </c>
      <c r="E20" s="340"/>
      <c r="F20" s="340">
        <v>1686113</v>
      </c>
      <c r="G20" s="340"/>
      <c r="H20" s="340"/>
      <c r="I20"/>
    </row>
    <row r="21" spans="1:9" s="25" customFormat="1" ht="18" customHeight="1">
      <c r="A21" s="21"/>
      <c r="B21" s="21"/>
      <c r="C21" s="21"/>
      <c r="D21" s="23">
        <f>SUM(E21:H21)</f>
        <v>821810</v>
      </c>
      <c r="E21" s="23"/>
      <c r="F21" s="23"/>
      <c r="G21" s="23"/>
      <c r="H21" s="23">
        <v>821810</v>
      </c>
      <c r="I21"/>
    </row>
    <row r="25" ht="12.75">
      <c r="C25" t="s">
        <v>236</v>
      </c>
    </row>
    <row r="26" ht="12.75">
      <c r="C26" t="s">
        <v>237</v>
      </c>
    </row>
    <row r="27" ht="12.75">
      <c r="C27" t="s">
        <v>238</v>
      </c>
    </row>
  </sheetData>
  <printOptions horizontalCentered="1"/>
  <pageMargins left="0.3937007874015748" right="0.3937007874015748" top="0.58" bottom="0.5905511811023623" header="0.5118110236220472" footer="0.3937007874015748"/>
  <pageSetup firstPageNumber="19" useFirstPageNumber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2005-12-01T13:30:37Z</cp:lastPrinted>
  <dcterms:created xsi:type="dcterms:W3CDTF">2004-03-08T07:54:07Z</dcterms:created>
  <dcterms:modified xsi:type="dcterms:W3CDTF">2004-12-05T16:52:13Z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